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5" windowWidth="14100" windowHeight="11730" activeTab="2"/>
  </bookViews>
  <sheets>
    <sheet name="P. ACCION DIC 2016" sheetId="1" r:id="rId1"/>
    <sheet name="P. ACCION DIC 2016 (2)" sheetId="2" r:id="rId2"/>
    <sheet name="P. ACCIÓN CONSOLIDADO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Print_Titles" localSheetId="2">'P. ACCIÓN CONSOLIDADO'!$C:$F,'P. ACCIÓN CONSOLIDADO'!$1:$3</definedName>
    <definedName name="_xlnm.Print_Titles" localSheetId="0">'P. ACCION DIC 2016'!$C:$F,'P. ACCION DIC 2016'!$1:$3</definedName>
    <definedName name="_xlnm.Print_Titles" localSheetId="1">'P. ACCION DIC 2016 (2)'!$C:$F,'P. ACCION DIC 2016 (2)'!$1:$3</definedName>
  </definedNames>
  <calcPr calcId="144525"/>
</workbook>
</file>

<file path=xl/calcChain.xml><?xml version="1.0" encoding="utf-8"?>
<calcChain xmlns="http://schemas.openxmlformats.org/spreadsheetml/2006/main">
  <c r="G54" i="1" l="1"/>
  <c r="DM133" i="3" l="1"/>
  <c r="DL133" i="3"/>
  <c r="DM145" i="3"/>
  <c r="DL145" i="3"/>
  <c r="AC154" i="3" l="1"/>
  <c r="DE144" i="3"/>
  <c r="CL144" i="3"/>
  <c r="CK144" i="3"/>
  <c r="CJ144" i="3"/>
  <c r="CG144" i="3"/>
  <c r="CF144" i="3"/>
  <c r="CE144" i="3"/>
  <c r="CD144" i="3"/>
  <c r="CC144" i="3"/>
  <c r="CB144" i="3"/>
  <c r="CA144" i="3"/>
  <c r="BZ144" i="3"/>
  <c r="BY144" i="3"/>
  <c r="BW144" i="3"/>
  <c r="BT144" i="3"/>
  <c r="AU144" i="3"/>
  <c r="AT144" i="3"/>
  <c r="AS144" i="3"/>
  <c r="AP144" i="3"/>
  <c r="AO144" i="3"/>
  <c r="AN144" i="3"/>
  <c r="AM144" i="3"/>
  <c r="AL144" i="3"/>
  <c r="AK144" i="3"/>
  <c r="AJ144" i="3"/>
  <c r="AI144" i="3"/>
  <c r="AH144" i="3"/>
  <c r="AF144" i="3"/>
  <c r="AC144" i="3"/>
  <c r="Y144" i="3"/>
  <c r="X144" i="3"/>
  <c r="T144" i="3"/>
  <c r="S144" i="3"/>
  <c r="R144" i="3"/>
  <c r="Q144" i="3"/>
  <c r="P144" i="3"/>
  <c r="O144" i="3"/>
  <c r="N144" i="3"/>
  <c r="M144" i="3"/>
  <c r="L144" i="3"/>
  <c r="K144" i="3"/>
  <c r="J144" i="3"/>
  <c r="DE142" i="3"/>
  <c r="CJ142" i="3"/>
  <c r="AS142" i="3"/>
  <c r="Z142" i="3"/>
  <c r="X142" i="3"/>
  <c r="DE141" i="3"/>
  <c r="CL141" i="3"/>
  <c r="CK141" i="3"/>
  <c r="CJ141" i="3"/>
  <c r="CI141" i="3"/>
  <c r="CH141" i="3"/>
  <c r="CG141" i="3"/>
  <c r="CD141" i="3"/>
  <c r="CC141" i="3"/>
  <c r="CB141" i="3"/>
  <c r="CA141" i="3"/>
  <c r="BZ141" i="3"/>
  <c r="BW141" i="3"/>
  <c r="BV141" i="3"/>
  <c r="BU141" i="3"/>
  <c r="BT141" i="3"/>
  <c r="AU141" i="3"/>
  <c r="AT141" i="3"/>
  <c r="AS141" i="3"/>
  <c r="AR141" i="3"/>
  <c r="AQ141" i="3"/>
  <c r="AP141" i="3"/>
  <c r="AM141" i="3"/>
  <c r="AL141" i="3"/>
  <c r="AK141" i="3"/>
  <c r="AJ141" i="3"/>
  <c r="AI141" i="3"/>
  <c r="AF141" i="3"/>
  <c r="AE141" i="3"/>
  <c r="AD141" i="3"/>
  <c r="AC141" i="3"/>
  <c r="Y141" i="3"/>
  <c r="X141" i="3"/>
  <c r="V141" i="3"/>
  <c r="U141" i="3"/>
  <c r="T141" i="3"/>
  <c r="Q141" i="3"/>
  <c r="P141" i="3"/>
  <c r="O141" i="3"/>
  <c r="N141" i="3"/>
  <c r="M141" i="3"/>
  <c r="J141" i="3"/>
  <c r="I141" i="3"/>
  <c r="H141" i="3"/>
  <c r="DE140" i="3"/>
  <c r="CL140" i="3"/>
  <c r="CK140" i="3"/>
  <c r="CJ140" i="3"/>
  <c r="CI140" i="3"/>
  <c r="CE140" i="3"/>
  <c r="CD140" i="3"/>
  <c r="CC140" i="3"/>
  <c r="CB140" i="3"/>
  <c r="CA140" i="3"/>
  <c r="BZ140" i="3"/>
  <c r="BW140" i="3"/>
  <c r="BV140" i="3"/>
  <c r="BU140" i="3"/>
  <c r="BT140" i="3"/>
  <c r="AU140" i="3"/>
  <c r="AT140" i="3"/>
  <c r="AS140" i="3"/>
  <c r="AR140" i="3"/>
  <c r="AN140" i="3"/>
  <c r="AM140" i="3"/>
  <c r="AL140" i="3"/>
  <c r="AK140" i="3"/>
  <c r="AJ140" i="3"/>
  <c r="AI140" i="3"/>
  <c r="AF140" i="3"/>
  <c r="AE140" i="3"/>
  <c r="AD140" i="3"/>
  <c r="AC140" i="3"/>
  <c r="Y140" i="3"/>
  <c r="X140" i="3"/>
  <c r="V140" i="3"/>
  <c r="U140" i="3"/>
  <c r="T140" i="3"/>
  <c r="S140" i="3"/>
  <c r="R140" i="3"/>
  <c r="Q140" i="3"/>
  <c r="P140" i="3"/>
  <c r="O140" i="3"/>
  <c r="N140" i="3"/>
  <c r="M140" i="3"/>
  <c r="L140" i="3"/>
  <c r="J140" i="3"/>
  <c r="H140" i="3"/>
  <c r="CK139" i="3"/>
  <c r="CI139" i="3"/>
  <c r="CG139" i="3"/>
  <c r="CD139" i="3"/>
  <c r="CC139" i="3"/>
  <c r="CB139" i="3"/>
  <c r="CA139" i="3"/>
  <c r="BZ139" i="3"/>
  <c r="BX139" i="3"/>
  <c r="BW139" i="3"/>
  <c r="BU139" i="3"/>
  <c r="BT139" i="3"/>
  <c r="AT139" i="3"/>
  <c r="AR139" i="3"/>
  <c r="AP139" i="3"/>
  <c r="AM139" i="3"/>
  <c r="AL139" i="3"/>
  <c r="AK139" i="3"/>
  <c r="AJ139" i="3"/>
  <c r="AI139" i="3"/>
  <c r="AG139" i="3"/>
  <c r="AF139" i="3"/>
  <c r="AD139" i="3"/>
  <c r="AC139" i="3"/>
  <c r="X139" i="3"/>
  <c r="V139" i="3"/>
  <c r="T139" i="3"/>
  <c r="S139" i="3"/>
  <c r="Q139" i="3"/>
  <c r="P139" i="3"/>
  <c r="O139" i="3"/>
  <c r="N139" i="3"/>
  <c r="M139" i="3"/>
  <c r="K139" i="3"/>
  <c r="J139" i="3"/>
  <c r="H139" i="3"/>
  <c r="DE138" i="3"/>
  <c r="CL138" i="3"/>
  <c r="CK138" i="3"/>
  <c r="CJ138" i="3"/>
  <c r="CI138" i="3"/>
  <c r="CH138" i="3"/>
  <c r="CG138" i="3"/>
  <c r="CF138" i="3"/>
  <c r="CE138" i="3"/>
  <c r="CD138" i="3"/>
  <c r="CC138" i="3"/>
  <c r="CB138" i="3"/>
  <c r="CA138" i="3"/>
  <c r="BZ138" i="3"/>
  <c r="BY138" i="3"/>
  <c r="BW138" i="3"/>
  <c r="BU138" i="3"/>
  <c r="BT138" i="3"/>
  <c r="BO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F138" i="3"/>
  <c r="AD138" i="3"/>
  <c r="AC138" i="3"/>
  <c r="Y138" i="3"/>
  <c r="X138" i="3"/>
  <c r="V138" i="3"/>
  <c r="U138" i="3"/>
  <c r="T138" i="3"/>
  <c r="S138" i="3"/>
  <c r="R138" i="3"/>
  <c r="Q138" i="3"/>
  <c r="P138" i="3"/>
  <c r="O138" i="3"/>
  <c r="N138" i="3"/>
  <c r="M138" i="3"/>
  <c r="L138" i="3"/>
  <c r="J138" i="3"/>
  <c r="H138" i="3"/>
  <c r="DE137" i="3"/>
  <c r="CL137" i="3"/>
  <c r="CK137" i="3"/>
  <c r="CJ137" i="3"/>
  <c r="CI137" i="3"/>
  <c r="CH137" i="3"/>
  <c r="CG137" i="3"/>
  <c r="CE137" i="3"/>
  <c r="CC137" i="3"/>
  <c r="CB137" i="3"/>
  <c r="CA137" i="3"/>
  <c r="BZ137" i="3"/>
  <c r="BY137" i="3"/>
  <c r="BX137" i="3"/>
  <c r="BW137" i="3"/>
  <c r="BU137" i="3"/>
  <c r="BT137" i="3"/>
  <c r="AU137" i="3"/>
  <c r="AT137" i="3"/>
  <c r="AS137" i="3"/>
  <c r="AR137" i="3"/>
  <c r="AQ137" i="3"/>
  <c r="AP137" i="3"/>
  <c r="AN137" i="3"/>
  <c r="AL137" i="3"/>
  <c r="AK137" i="3"/>
  <c r="AJ137" i="3"/>
  <c r="AI137" i="3"/>
  <c r="AH137" i="3"/>
  <c r="AG137" i="3"/>
  <c r="AF137" i="3"/>
  <c r="AD137" i="3"/>
  <c r="AC137" i="3"/>
  <c r="Y137" i="3"/>
  <c r="X137" i="3"/>
  <c r="V137" i="3"/>
  <c r="T137" i="3"/>
  <c r="R137" i="3"/>
  <c r="P137" i="3"/>
  <c r="O137" i="3"/>
  <c r="N137" i="3"/>
  <c r="M137" i="3"/>
  <c r="L137" i="3"/>
  <c r="K137" i="3"/>
  <c r="J137" i="3"/>
  <c r="H137" i="3"/>
  <c r="DE136" i="3"/>
  <c r="CL136" i="3"/>
  <c r="CK136" i="3"/>
  <c r="CJ136" i="3"/>
  <c r="CI136" i="3"/>
  <c r="CH136" i="3"/>
  <c r="CG136" i="3"/>
  <c r="CF136" i="3"/>
  <c r="CE136" i="3"/>
  <c r="CB136" i="3"/>
  <c r="CA136" i="3"/>
  <c r="BZ136" i="3"/>
  <c r="BY136" i="3"/>
  <c r="BX136" i="3"/>
  <c r="BU136" i="3"/>
  <c r="BT136" i="3"/>
  <c r="BO136" i="3"/>
  <c r="AU136" i="3"/>
  <c r="AT136" i="3"/>
  <c r="AS136" i="3"/>
  <c r="AR136" i="3"/>
  <c r="AQ136" i="3"/>
  <c r="AP136" i="3"/>
  <c r="AO136" i="3"/>
  <c r="AN136" i="3"/>
  <c r="AK136" i="3"/>
  <c r="AJ136" i="3"/>
  <c r="AI136" i="3"/>
  <c r="AH136" i="3"/>
  <c r="AG136" i="3"/>
  <c r="AD136" i="3"/>
  <c r="AC136" i="3"/>
  <c r="Y136" i="3"/>
  <c r="X136" i="3"/>
  <c r="V136" i="3"/>
  <c r="U136" i="3"/>
  <c r="T136" i="3"/>
  <c r="S136" i="3"/>
  <c r="R136" i="3"/>
  <c r="P136" i="3"/>
  <c r="L136" i="3"/>
  <c r="K136" i="3"/>
  <c r="H136" i="3"/>
  <c r="DE132" i="3"/>
  <c r="CL132" i="3"/>
  <c r="CI132" i="3"/>
  <c r="CE132" i="3"/>
  <c r="CB132" i="3"/>
  <c r="CA132" i="3"/>
  <c r="BZ132" i="3"/>
  <c r="BY132" i="3"/>
  <c r="BU132" i="3"/>
  <c r="BT132" i="3"/>
  <c r="BN132" i="3"/>
  <c r="AU132" i="3"/>
  <c r="AS132" i="3"/>
  <c r="AR132" i="3"/>
  <c r="AN132" i="3"/>
  <c r="AK132" i="3"/>
  <c r="AJ132" i="3"/>
  <c r="AI132" i="3"/>
  <c r="AH132" i="3"/>
  <c r="AD132" i="3"/>
  <c r="Y132" i="3"/>
  <c r="X132" i="3"/>
  <c r="W132" i="3"/>
  <c r="V132" i="3"/>
  <c r="R132" i="3"/>
  <c r="L132" i="3"/>
  <c r="H132" i="3"/>
  <c r="DG131" i="3"/>
  <c r="DF131" i="3"/>
  <c r="DD131" i="3"/>
  <c r="DC131" i="3"/>
  <c r="DB131" i="3"/>
  <c r="DA131" i="3"/>
  <c r="CZ131" i="3"/>
  <c r="CY131" i="3"/>
  <c r="CX131" i="3"/>
  <c r="CW131" i="3"/>
  <c r="CV131" i="3"/>
  <c r="CU131" i="3"/>
  <c r="CT131" i="3"/>
  <c r="CR131" i="3"/>
  <c r="CQ131" i="3"/>
  <c r="CP131" i="3"/>
  <c r="CM131" i="3"/>
  <c r="BX131" i="3"/>
  <c r="BP131" i="3"/>
  <c r="BM131" i="3"/>
  <c r="BL131" i="3"/>
  <c r="BK131" i="3"/>
  <c r="BJ131" i="3"/>
  <c r="BI131" i="3"/>
  <c r="BH131" i="3"/>
  <c r="BG131" i="3"/>
  <c r="BF131" i="3"/>
  <c r="BE131" i="3"/>
  <c r="BD131" i="3"/>
  <c r="BC131" i="3"/>
  <c r="BA131" i="3"/>
  <c r="AZ131" i="3"/>
  <c r="AY131" i="3"/>
  <c r="AV131" i="3"/>
  <c r="AG131" i="3"/>
  <c r="Z131" i="3"/>
  <c r="K131" i="3"/>
  <c r="G131" i="3" s="1"/>
  <c r="DH130" i="3"/>
  <c r="DG130" i="3"/>
  <c r="DF130" i="3"/>
  <c r="DD130" i="3"/>
  <c r="DC130" i="3"/>
  <c r="DB130" i="3"/>
  <c r="DA130" i="3"/>
  <c r="CZ130" i="3"/>
  <c r="CY130" i="3"/>
  <c r="CX130" i="3"/>
  <c r="CW130" i="3"/>
  <c r="CV130" i="3"/>
  <c r="CU130" i="3"/>
  <c r="CT130" i="3"/>
  <c r="CR130" i="3"/>
  <c r="CQ130" i="3"/>
  <c r="CP130" i="3"/>
  <c r="BX130" i="3"/>
  <c r="BS130" i="3" s="1"/>
  <c r="BR130" i="3" s="1"/>
  <c r="CN130" i="3" s="1"/>
  <c r="BQ130" i="3"/>
  <c r="BP130" i="3"/>
  <c r="BM130" i="3"/>
  <c r="BL130" i="3"/>
  <c r="BK130" i="3"/>
  <c r="BJ130" i="3"/>
  <c r="BI130" i="3"/>
  <c r="BH130" i="3"/>
  <c r="BG130" i="3"/>
  <c r="BF130" i="3"/>
  <c r="BE130" i="3"/>
  <c r="BD130" i="3"/>
  <c r="BC130" i="3"/>
  <c r="BA130" i="3"/>
  <c r="AZ130" i="3"/>
  <c r="AY130" i="3"/>
  <c r="AG130" i="3"/>
  <c r="AB130" i="3" s="1"/>
  <c r="G130" i="3"/>
  <c r="DH129" i="3"/>
  <c r="DG129" i="3"/>
  <c r="DF129" i="3"/>
  <c r="DD129" i="3"/>
  <c r="DC129" i="3"/>
  <c r="DB129" i="3"/>
  <c r="DA129" i="3"/>
  <c r="CZ129" i="3"/>
  <c r="CY129" i="3"/>
  <c r="CX129" i="3"/>
  <c r="CW129" i="3"/>
  <c r="CV129" i="3"/>
  <c r="CU129" i="3"/>
  <c r="CT129" i="3"/>
  <c r="CR129" i="3"/>
  <c r="CQ129" i="3"/>
  <c r="CP129" i="3"/>
  <c r="BX129" i="3"/>
  <c r="CS129" i="3" s="1"/>
  <c r="BQ129" i="3"/>
  <c r="BP129" i="3"/>
  <c r="BM129" i="3"/>
  <c r="BL129" i="3"/>
  <c r="BK129" i="3"/>
  <c r="BJ129" i="3"/>
  <c r="BI129" i="3"/>
  <c r="BH129" i="3"/>
  <c r="BG129" i="3"/>
  <c r="BF129" i="3"/>
  <c r="BE129" i="3"/>
  <c r="BD129" i="3"/>
  <c r="BC129" i="3"/>
  <c r="BA129" i="3"/>
  <c r="AZ129" i="3"/>
  <c r="AY129" i="3"/>
  <c r="AG129" i="3"/>
  <c r="G129" i="3"/>
  <c r="DH128" i="3"/>
  <c r="DG128" i="3"/>
  <c r="DF128" i="3"/>
  <c r="DD128" i="3"/>
  <c r="DC128" i="3"/>
  <c r="DB128" i="3"/>
  <c r="CZ128" i="3"/>
  <c r="CY128" i="3"/>
  <c r="CX128" i="3"/>
  <c r="CW128" i="3"/>
  <c r="CV128" i="3"/>
  <c r="CU128" i="3"/>
  <c r="CT128" i="3"/>
  <c r="CS128" i="3"/>
  <c r="CR128" i="3"/>
  <c r="CQ128" i="3"/>
  <c r="CP128" i="3"/>
  <c r="CF128" i="3"/>
  <c r="DA128" i="3" s="1"/>
  <c r="BQ128" i="3"/>
  <c r="BP128" i="3"/>
  <c r="BM128" i="3"/>
  <c r="BL128" i="3"/>
  <c r="BK128" i="3"/>
  <c r="BI128" i="3"/>
  <c r="BH128" i="3"/>
  <c r="BG128" i="3"/>
  <c r="BF128" i="3"/>
  <c r="BE128" i="3"/>
  <c r="BD128" i="3"/>
  <c r="BC128" i="3"/>
  <c r="BB128" i="3"/>
  <c r="BA128" i="3"/>
  <c r="AZ128" i="3"/>
  <c r="AY128" i="3"/>
  <c r="AO128" i="3"/>
  <c r="BJ128" i="3" s="1"/>
  <c r="G128" i="3"/>
  <c r="DH127" i="3"/>
  <c r="DG127" i="3"/>
  <c r="DF127" i="3"/>
  <c r="DD127" i="3"/>
  <c r="DC127" i="3"/>
  <c r="DB127" i="3"/>
  <c r="DA127" i="3"/>
  <c r="CZ127" i="3"/>
  <c r="CY127" i="3"/>
  <c r="CX127" i="3"/>
  <c r="CW127" i="3"/>
  <c r="CV127" i="3"/>
  <c r="CU127" i="3"/>
  <c r="CT127" i="3"/>
  <c r="CR127" i="3"/>
  <c r="CQ127" i="3"/>
  <c r="CP127" i="3"/>
  <c r="BX127" i="3"/>
  <c r="BS127" i="3" s="1"/>
  <c r="BQ127" i="3"/>
  <c r="BP127" i="3"/>
  <c r="BM127" i="3"/>
  <c r="BL127" i="3"/>
  <c r="BK127" i="3"/>
  <c r="BJ127" i="3"/>
  <c r="BI127" i="3"/>
  <c r="BH127" i="3"/>
  <c r="BG127" i="3"/>
  <c r="BF127" i="3"/>
  <c r="BE127" i="3"/>
  <c r="BD127" i="3"/>
  <c r="BC127" i="3"/>
  <c r="BA127" i="3"/>
  <c r="AZ127" i="3"/>
  <c r="AY127" i="3"/>
  <c r="AG127" i="3"/>
  <c r="AB127" i="3" s="1"/>
  <c r="K127" i="3"/>
  <c r="G127" i="3"/>
  <c r="DH126" i="3"/>
  <c r="DG126" i="3"/>
  <c r="DF126" i="3"/>
  <c r="DD126" i="3"/>
  <c r="DB126" i="3"/>
  <c r="DA126" i="3"/>
  <c r="CZ126" i="3"/>
  <c r="CY126" i="3"/>
  <c r="CX126" i="3"/>
  <c r="CW126" i="3"/>
  <c r="CV126" i="3"/>
  <c r="CU126" i="3"/>
  <c r="CT126" i="3"/>
  <c r="CR126" i="3"/>
  <c r="CQ126" i="3"/>
  <c r="CP126" i="3"/>
  <c r="CH126" i="3"/>
  <c r="BX126" i="3"/>
  <c r="BQ126" i="3"/>
  <c r="BP126" i="3"/>
  <c r="BM126" i="3"/>
  <c r="BK126" i="3"/>
  <c r="BJ126" i="3"/>
  <c r="BI126" i="3"/>
  <c r="BH126" i="3"/>
  <c r="BG126" i="3"/>
  <c r="BF126" i="3"/>
  <c r="BE126" i="3"/>
  <c r="BD126" i="3"/>
  <c r="BC126" i="3"/>
  <c r="BA126" i="3"/>
  <c r="AZ126" i="3"/>
  <c r="AY126" i="3"/>
  <c r="AQ126" i="3"/>
  <c r="AG126" i="3"/>
  <c r="K126" i="3"/>
  <c r="G126" i="3"/>
  <c r="CK125" i="3"/>
  <c r="CG125" i="3"/>
  <c r="CG142" i="3" s="1"/>
  <c r="AT125" i="3"/>
  <c r="AP125" i="3"/>
  <c r="AP142" i="3" s="1"/>
  <c r="T125" i="3"/>
  <c r="T142" i="3" s="1"/>
  <c r="DH124" i="3"/>
  <c r="DG124" i="3"/>
  <c r="DF124" i="3"/>
  <c r="DD124" i="3"/>
  <c r="DC124" i="3"/>
  <c r="DB124" i="3"/>
  <c r="CZ124" i="3"/>
  <c r="CY124" i="3"/>
  <c r="CX124" i="3"/>
  <c r="CW124" i="3"/>
  <c r="CV124" i="3"/>
  <c r="CU124" i="3"/>
  <c r="CT124" i="3"/>
  <c r="CS124" i="3"/>
  <c r="CR124" i="3"/>
  <c r="CQ124" i="3"/>
  <c r="CP124" i="3"/>
  <c r="CF124" i="3"/>
  <c r="BQ124" i="3"/>
  <c r="BP124" i="3"/>
  <c r="BO124" i="3"/>
  <c r="BM124" i="3"/>
  <c r="BL124" i="3"/>
  <c r="BK124" i="3"/>
  <c r="BI124" i="3"/>
  <c r="BH124" i="3"/>
  <c r="BG124" i="3"/>
  <c r="BF124" i="3"/>
  <c r="BE124" i="3"/>
  <c r="BD124" i="3"/>
  <c r="BC124" i="3"/>
  <c r="BB124" i="3"/>
  <c r="BA124" i="3"/>
  <c r="AZ124" i="3"/>
  <c r="AY124" i="3"/>
  <c r="AO124" i="3"/>
  <c r="BJ124" i="3" s="1"/>
  <c r="G124" i="3"/>
  <c r="DH123" i="3"/>
  <c r="DG123" i="3"/>
  <c r="DF123" i="3"/>
  <c r="DD123" i="3"/>
  <c r="DB123" i="3"/>
  <c r="DA123" i="3"/>
  <c r="CZ123" i="3"/>
  <c r="CY123" i="3"/>
  <c r="CX123" i="3"/>
  <c r="CW123" i="3"/>
  <c r="CV123" i="3"/>
  <c r="CU123" i="3"/>
  <c r="CT123" i="3"/>
  <c r="CS123" i="3"/>
  <c r="CR123" i="3"/>
  <c r="CP123" i="3"/>
  <c r="BV123" i="3"/>
  <c r="CQ123" i="3" s="1"/>
  <c r="BQ123" i="3"/>
  <c r="BP123" i="3"/>
  <c r="BM123" i="3"/>
  <c r="BL123" i="3"/>
  <c r="BK123" i="3"/>
  <c r="BJ123" i="3"/>
  <c r="BI123" i="3"/>
  <c r="BH123" i="3"/>
  <c r="BG123" i="3"/>
  <c r="BF123" i="3"/>
  <c r="BE123" i="3"/>
  <c r="BD123" i="3"/>
  <c r="BC123" i="3"/>
  <c r="BB123" i="3"/>
  <c r="BA123" i="3"/>
  <c r="AY123" i="3"/>
  <c r="AE123" i="3"/>
  <c r="AZ123" i="3" s="1"/>
  <c r="U123" i="3"/>
  <c r="U132" i="3" s="1"/>
  <c r="I123" i="3"/>
  <c r="DG122" i="3"/>
  <c r="DF122" i="3"/>
  <c r="DD122" i="3"/>
  <c r="DC122" i="3"/>
  <c r="DB122" i="3"/>
  <c r="DA122" i="3"/>
  <c r="CZ122" i="3"/>
  <c r="CY122" i="3"/>
  <c r="CX122" i="3"/>
  <c r="CW122" i="3"/>
  <c r="CV122" i="3"/>
  <c r="CU122" i="3"/>
  <c r="CT122" i="3"/>
  <c r="CS122" i="3"/>
  <c r="CR122" i="3"/>
  <c r="CQ122" i="3"/>
  <c r="CP122" i="3"/>
  <c r="CM122" i="3"/>
  <c r="BS122" i="3" s="1"/>
  <c r="BP122" i="3"/>
  <c r="BM122" i="3"/>
  <c r="BL122" i="3"/>
  <c r="BK122" i="3"/>
  <c r="BJ122" i="3"/>
  <c r="BI122" i="3"/>
  <c r="BH122" i="3"/>
  <c r="BG122" i="3"/>
  <c r="BF122" i="3"/>
  <c r="BE122" i="3"/>
  <c r="BD122" i="3"/>
  <c r="BC122" i="3"/>
  <c r="BB122" i="3"/>
  <c r="BA122" i="3"/>
  <c r="AZ122" i="3"/>
  <c r="AY122" i="3"/>
  <c r="AV122" i="3"/>
  <c r="AB122" i="3" s="1"/>
  <c r="Z122" i="3"/>
  <c r="DG121" i="3"/>
  <c r="DF121" i="3"/>
  <c r="DD121" i="3"/>
  <c r="DC121" i="3"/>
  <c r="DB121" i="3"/>
  <c r="DA121" i="3"/>
  <c r="CZ121" i="3"/>
  <c r="CY121" i="3"/>
  <c r="CX121" i="3"/>
  <c r="CW121" i="3"/>
  <c r="CV121" i="3"/>
  <c r="CU121" i="3"/>
  <c r="CT121" i="3"/>
  <c r="CS121" i="3"/>
  <c r="CR121" i="3"/>
  <c r="CQ121" i="3"/>
  <c r="CP121" i="3"/>
  <c r="CM121" i="3"/>
  <c r="BS121" i="3" s="1"/>
  <c r="BP121" i="3"/>
  <c r="BM121" i="3"/>
  <c r="BL121" i="3"/>
  <c r="BK121" i="3"/>
  <c r="BJ121" i="3"/>
  <c r="BI121" i="3"/>
  <c r="BH121" i="3"/>
  <c r="BG121" i="3"/>
  <c r="BF121" i="3"/>
  <c r="BE121" i="3"/>
  <c r="BD121" i="3"/>
  <c r="BC121" i="3"/>
  <c r="BB121" i="3"/>
  <c r="BA121" i="3"/>
  <c r="AZ121" i="3"/>
  <c r="AY121" i="3"/>
  <c r="AV121" i="3"/>
  <c r="AB121" i="3" s="1"/>
  <c r="Z121" i="3"/>
  <c r="DG120" i="3"/>
  <c r="DF120" i="3"/>
  <c r="DD120" i="3"/>
  <c r="DC120" i="3"/>
  <c r="DB120" i="3"/>
  <c r="DA120" i="3"/>
  <c r="CZ120" i="3"/>
  <c r="CY120" i="3"/>
  <c r="CX120" i="3"/>
  <c r="CW120" i="3"/>
  <c r="CV120" i="3"/>
  <c r="CU120" i="3"/>
  <c r="CT120" i="3"/>
  <c r="CS120" i="3"/>
  <c r="CR120" i="3"/>
  <c r="CP120" i="3"/>
  <c r="CM120" i="3"/>
  <c r="BV120" i="3"/>
  <c r="BP120" i="3"/>
  <c r="BM120" i="3"/>
  <c r="BL120" i="3"/>
  <c r="BK120" i="3"/>
  <c r="BJ120" i="3"/>
  <c r="BI120" i="3"/>
  <c r="BH120" i="3"/>
  <c r="BG120" i="3"/>
  <c r="BF120" i="3"/>
  <c r="BE120" i="3"/>
  <c r="BD120" i="3"/>
  <c r="BC120" i="3"/>
  <c r="BB120" i="3"/>
  <c r="BA120" i="3"/>
  <c r="AY120" i="3"/>
  <c r="AV120" i="3"/>
  <c r="AE120" i="3"/>
  <c r="AB120" i="3" s="1"/>
  <c r="Z120" i="3"/>
  <c r="BQ120" i="3" s="1"/>
  <c r="I120" i="3"/>
  <c r="CQ120" i="3" s="1"/>
  <c r="DG119" i="3"/>
  <c r="DF119" i="3"/>
  <c r="DD119" i="3"/>
  <c r="DC119" i="3"/>
  <c r="DB119" i="3"/>
  <c r="DA119" i="3"/>
  <c r="CZ119" i="3"/>
  <c r="CX119" i="3"/>
  <c r="CW119" i="3"/>
  <c r="CV119" i="3"/>
  <c r="CU119" i="3"/>
  <c r="CT119" i="3"/>
  <c r="CS119" i="3"/>
  <c r="CR119" i="3"/>
  <c r="CQ119" i="3"/>
  <c r="CP119" i="3"/>
  <c r="CM119" i="3"/>
  <c r="CD119" i="3"/>
  <c r="CY119" i="3" s="1"/>
  <c r="BV119" i="3"/>
  <c r="BP119" i="3"/>
  <c r="BM119" i="3"/>
  <c r="BL119" i="3"/>
  <c r="BK119" i="3"/>
  <c r="BJ119" i="3"/>
  <c r="BI119" i="3"/>
  <c r="BH119" i="3"/>
  <c r="BG119" i="3"/>
  <c r="BF119" i="3"/>
  <c r="BE119" i="3"/>
  <c r="BD119" i="3"/>
  <c r="BC119" i="3"/>
  <c r="BB119" i="3"/>
  <c r="BA119" i="3"/>
  <c r="AY119" i="3"/>
  <c r="AV119" i="3"/>
  <c r="AE119" i="3"/>
  <c r="AZ119" i="3" s="1"/>
  <c r="Z119" i="3"/>
  <c r="DH119" i="3" s="1"/>
  <c r="DG118" i="3"/>
  <c r="DF118" i="3"/>
  <c r="DD118" i="3"/>
  <c r="DC118" i="3"/>
  <c r="DB118" i="3"/>
  <c r="DA118" i="3"/>
  <c r="CZ118" i="3"/>
  <c r="CY118" i="3"/>
  <c r="CX118" i="3"/>
  <c r="CW118" i="3"/>
  <c r="CV118" i="3"/>
  <c r="CU118" i="3"/>
  <c r="CT118" i="3"/>
  <c r="CS118" i="3"/>
  <c r="CR118" i="3"/>
  <c r="CP118" i="3"/>
  <c r="CM118" i="3"/>
  <c r="DH118" i="3" s="1"/>
  <c r="BV118" i="3"/>
  <c r="BP118" i="3"/>
  <c r="BM118" i="3"/>
  <c r="BL118" i="3"/>
  <c r="BK118" i="3"/>
  <c r="BJ118" i="3"/>
  <c r="BI118" i="3"/>
  <c r="BH118" i="3"/>
  <c r="BG118" i="3"/>
  <c r="BF118" i="3"/>
  <c r="BE118" i="3"/>
  <c r="BD118" i="3"/>
  <c r="BC118" i="3"/>
  <c r="BB118" i="3"/>
  <c r="BA118" i="3"/>
  <c r="AY118" i="3"/>
  <c r="AV118" i="3"/>
  <c r="AE118" i="3"/>
  <c r="Z118" i="3"/>
  <c r="I118" i="3"/>
  <c r="DG117" i="3"/>
  <c r="DF117" i="3"/>
  <c r="DD117" i="3"/>
  <c r="DC117" i="3"/>
  <c r="DB117" i="3"/>
  <c r="CZ117" i="3"/>
  <c r="CY117" i="3"/>
  <c r="CX117" i="3"/>
  <c r="CW117" i="3"/>
  <c r="CV117" i="3"/>
  <c r="CU117" i="3"/>
  <c r="CT117" i="3"/>
  <c r="CS117" i="3"/>
  <c r="CR117" i="3"/>
  <c r="CP117" i="3"/>
  <c r="CM117" i="3"/>
  <c r="DH117" i="3" s="1"/>
  <c r="CF117" i="3"/>
  <c r="DA117" i="3" s="1"/>
  <c r="BV117" i="3"/>
  <c r="BP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Y117" i="3"/>
  <c r="AV117" i="3"/>
  <c r="BQ117" i="3" s="1"/>
  <c r="AO117" i="3"/>
  <c r="AE117" i="3"/>
  <c r="S117" i="3"/>
  <c r="S137" i="3" s="1"/>
  <c r="I117" i="3"/>
  <c r="G117" i="3"/>
  <c r="DG116" i="3"/>
  <c r="DF116" i="3"/>
  <c r="DD116" i="3"/>
  <c r="DC116" i="3"/>
  <c r="DB116" i="3"/>
  <c r="CZ116" i="3"/>
  <c r="CX116" i="3"/>
  <c r="CW116" i="3"/>
  <c r="CV116" i="3"/>
  <c r="CU116" i="3"/>
  <c r="CT116" i="3"/>
  <c r="CS116" i="3"/>
  <c r="CR116" i="3"/>
  <c r="CP116" i="3"/>
  <c r="CM116" i="3"/>
  <c r="CF116" i="3"/>
  <c r="CD116" i="3"/>
  <c r="CD137" i="3" s="1"/>
  <c r="BV116" i="3"/>
  <c r="CQ116" i="3" s="1"/>
  <c r="BP116" i="3"/>
  <c r="BM116" i="3"/>
  <c r="BL116" i="3"/>
  <c r="BK116" i="3"/>
  <c r="BI116" i="3"/>
  <c r="BG116" i="3"/>
  <c r="BF116" i="3"/>
  <c r="BE116" i="3"/>
  <c r="BD116" i="3"/>
  <c r="BC116" i="3"/>
  <c r="BB116" i="3"/>
  <c r="BA116" i="3"/>
  <c r="AY116" i="3"/>
  <c r="AV116" i="3"/>
  <c r="AO116" i="3"/>
  <c r="AM116" i="3"/>
  <c r="AM137" i="3" s="1"/>
  <c r="AE116" i="3"/>
  <c r="Z116" i="3"/>
  <c r="Q116" i="3"/>
  <c r="G116" i="3" s="1"/>
  <c r="I116" i="3"/>
  <c r="DH115" i="3"/>
  <c r="DG115" i="3"/>
  <c r="DF115" i="3"/>
  <c r="DD115" i="3"/>
  <c r="DC115" i="3"/>
  <c r="DB115" i="3"/>
  <c r="DA115" i="3"/>
  <c r="CZ115" i="3"/>
  <c r="CX115" i="3"/>
  <c r="CW115" i="3"/>
  <c r="CV115" i="3"/>
  <c r="CU115" i="3"/>
  <c r="CT115" i="3"/>
  <c r="CS115" i="3"/>
  <c r="CQ115" i="3"/>
  <c r="CP115" i="3"/>
  <c r="CD115" i="3"/>
  <c r="BW115" i="3"/>
  <c r="BQ115" i="3"/>
  <c r="BP115" i="3"/>
  <c r="BM115" i="3"/>
  <c r="BL115" i="3"/>
  <c r="BK115" i="3"/>
  <c r="BJ115" i="3"/>
  <c r="BI115" i="3"/>
  <c r="BG115" i="3"/>
  <c r="BF115" i="3"/>
  <c r="BE115" i="3"/>
  <c r="BD115" i="3"/>
  <c r="BC115" i="3"/>
  <c r="BB115" i="3"/>
  <c r="AZ115" i="3"/>
  <c r="AY115" i="3"/>
  <c r="AM115" i="3"/>
  <c r="AF115" i="3"/>
  <c r="Q115" i="3"/>
  <c r="J115" i="3"/>
  <c r="DG114" i="3"/>
  <c r="DF114" i="3"/>
  <c r="DD114" i="3"/>
  <c r="DC114" i="3"/>
  <c r="DB114" i="3"/>
  <c r="DA114" i="3"/>
  <c r="CZ114" i="3"/>
  <c r="CX114" i="3"/>
  <c r="CW114" i="3"/>
  <c r="CV114" i="3"/>
  <c r="CU114" i="3"/>
  <c r="CT114" i="3"/>
  <c r="CS114" i="3"/>
  <c r="CP114" i="3"/>
  <c r="CM114" i="3"/>
  <c r="CD114" i="3"/>
  <c r="CC114" i="3"/>
  <c r="CC136" i="3" s="1"/>
  <c r="BW114" i="3"/>
  <c r="BV114" i="3"/>
  <c r="BQ114" i="3"/>
  <c r="BP114" i="3"/>
  <c r="BM114" i="3"/>
  <c r="BL114" i="3"/>
  <c r="BK114" i="3"/>
  <c r="BJ114" i="3"/>
  <c r="BI114" i="3"/>
  <c r="BF114" i="3"/>
  <c r="BE114" i="3"/>
  <c r="BD114" i="3"/>
  <c r="BC114" i="3"/>
  <c r="BB114" i="3"/>
  <c r="AY114" i="3"/>
  <c r="AV114" i="3"/>
  <c r="AM114" i="3"/>
  <c r="BH114" i="3" s="1"/>
  <c r="AL114" i="3"/>
  <c r="AL136" i="3" s="1"/>
  <c r="AF114" i="3"/>
  <c r="AE114" i="3"/>
  <c r="AZ114" i="3" s="1"/>
  <c r="Z114" i="3"/>
  <c r="Q114" i="3"/>
  <c r="P114" i="3"/>
  <c r="I114" i="3"/>
  <c r="DG113" i="3"/>
  <c r="DF113" i="3"/>
  <c r="DD113" i="3"/>
  <c r="DC113" i="3"/>
  <c r="DB113" i="3"/>
  <c r="DA113" i="3"/>
  <c r="CZ113" i="3"/>
  <c r="CX113" i="3"/>
  <c r="CT113" i="3"/>
  <c r="CT136" i="3" s="1"/>
  <c r="CS113" i="3"/>
  <c r="CP113" i="3"/>
  <c r="CM113" i="3"/>
  <c r="BV113" i="3"/>
  <c r="BP113" i="3"/>
  <c r="BM113" i="3"/>
  <c r="BL113" i="3"/>
  <c r="BK113" i="3"/>
  <c r="BJ113" i="3"/>
  <c r="BI113" i="3"/>
  <c r="BG113" i="3"/>
  <c r="BF113" i="3"/>
  <c r="BF136" i="3" s="1"/>
  <c r="BC113" i="3"/>
  <c r="BB113" i="3"/>
  <c r="AY113" i="3"/>
  <c r="AV113" i="3"/>
  <c r="AE113" i="3"/>
  <c r="AZ113" i="3" s="1"/>
  <c r="Z113" i="3"/>
  <c r="Q113" i="3"/>
  <c r="O113" i="3"/>
  <c r="CW113" i="3" s="1"/>
  <c r="N113" i="3"/>
  <c r="N136" i="3" s="1"/>
  <c r="M113" i="3"/>
  <c r="J113" i="3"/>
  <c r="I113" i="3"/>
  <c r="I132" i="3" s="1"/>
  <c r="DE112" i="3"/>
  <c r="CL112" i="3"/>
  <c r="CK112" i="3"/>
  <c r="CJ112" i="3"/>
  <c r="CG112" i="3"/>
  <c r="CF112" i="3"/>
  <c r="CE112" i="3"/>
  <c r="CD112" i="3"/>
  <c r="CC112" i="3"/>
  <c r="CB112" i="3"/>
  <c r="CA112" i="3"/>
  <c r="BZ112" i="3"/>
  <c r="BY112" i="3"/>
  <c r="BW112" i="3"/>
  <c r="BT112" i="3"/>
  <c r="BO112" i="3"/>
  <c r="BN112" i="3"/>
  <c r="AU112" i="3"/>
  <c r="AT112" i="3"/>
  <c r="AS112" i="3"/>
  <c r="AP112" i="3"/>
  <c r="AO112" i="3"/>
  <c r="AN112" i="3"/>
  <c r="AM112" i="3"/>
  <c r="AL112" i="3"/>
  <c r="AK112" i="3"/>
  <c r="AJ112" i="3"/>
  <c r="AI112" i="3"/>
  <c r="AH112" i="3"/>
  <c r="AF112" i="3"/>
  <c r="Y112" i="3"/>
  <c r="X112" i="3"/>
  <c r="W112" i="3"/>
  <c r="T112" i="3"/>
  <c r="S112" i="3"/>
  <c r="R112" i="3"/>
  <c r="Q112" i="3"/>
  <c r="P112" i="3"/>
  <c r="O112" i="3"/>
  <c r="N112" i="3"/>
  <c r="M112" i="3"/>
  <c r="L112" i="3"/>
  <c r="K112" i="3"/>
  <c r="J112" i="3"/>
  <c r="I112" i="3"/>
  <c r="BV111" i="3"/>
  <c r="CQ111" i="3" s="1"/>
  <c r="CO111" i="3" s="1"/>
  <c r="AE111" i="3"/>
  <c r="AZ111" i="3" s="1"/>
  <c r="AX111" i="3" s="1"/>
  <c r="G111" i="3"/>
  <c r="BV110" i="3"/>
  <c r="BS110" i="3" s="1"/>
  <c r="AE110" i="3"/>
  <c r="G110" i="3"/>
  <c r="BV109" i="3"/>
  <c r="CQ109" i="3" s="1"/>
  <c r="CO109" i="3" s="1"/>
  <c r="AE109" i="3"/>
  <c r="G109" i="3"/>
  <c r="DH108" i="3"/>
  <c r="DG108" i="3"/>
  <c r="DF108" i="3"/>
  <c r="DD108" i="3"/>
  <c r="DB108" i="3"/>
  <c r="DA108" i="3"/>
  <c r="CZ108" i="3"/>
  <c r="CY108" i="3"/>
  <c r="CX108" i="3"/>
  <c r="CW108" i="3"/>
  <c r="CV108" i="3"/>
  <c r="CU108" i="3"/>
  <c r="CT108" i="3"/>
  <c r="CS108" i="3"/>
  <c r="CR108" i="3"/>
  <c r="CP108" i="3"/>
  <c r="CH108" i="3"/>
  <c r="BS108" i="3" s="1"/>
  <c r="BQ108" i="3"/>
  <c r="BP108" i="3"/>
  <c r="BM108" i="3"/>
  <c r="BK108" i="3"/>
  <c r="BJ108" i="3"/>
  <c r="BI108" i="3"/>
  <c r="BH108" i="3"/>
  <c r="BG108" i="3"/>
  <c r="BF108" i="3"/>
  <c r="BE108" i="3"/>
  <c r="BD108" i="3"/>
  <c r="BC108" i="3"/>
  <c r="BB108" i="3"/>
  <c r="BA108" i="3"/>
  <c r="AY108" i="3"/>
  <c r="AQ108" i="3"/>
  <c r="AB108" i="3" s="1"/>
  <c r="U108" i="3"/>
  <c r="I108" i="3"/>
  <c r="CQ108" i="3" s="1"/>
  <c r="G108" i="3"/>
  <c r="DH107" i="3"/>
  <c r="DG107" i="3"/>
  <c r="DF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Q107" i="3"/>
  <c r="CP107" i="3"/>
  <c r="CI107" i="3"/>
  <c r="BS107" i="3" s="1"/>
  <c r="BQ107" i="3"/>
  <c r="BP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R107" i="3"/>
  <c r="BM107" i="3" s="1"/>
  <c r="V107" i="3"/>
  <c r="G107" i="3"/>
  <c r="DH106" i="3"/>
  <c r="DG106" i="3"/>
  <c r="DF106" i="3"/>
  <c r="DC106" i="3"/>
  <c r="DB106" i="3"/>
  <c r="DA106" i="3"/>
  <c r="CZ106" i="3"/>
  <c r="CY106" i="3"/>
  <c r="CX106" i="3"/>
  <c r="CW106" i="3"/>
  <c r="CV106" i="3"/>
  <c r="CU106" i="3"/>
  <c r="CT106" i="3"/>
  <c r="CS106" i="3"/>
  <c r="CR106" i="3"/>
  <c r="CQ106" i="3"/>
  <c r="CI106" i="3"/>
  <c r="BU106" i="3"/>
  <c r="BQ106" i="3"/>
  <c r="BP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R106" i="3"/>
  <c r="AD106" i="3"/>
  <c r="AB106" i="3" s="1"/>
  <c r="V106" i="3"/>
  <c r="DH105" i="3"/>
  <c r="DG105" i="3"/>
  <c r="DF105" i="3"/>
  <c r="DC105" i="3"/>
  <c r="DB105" i="3"/>
  <c r="DA105" i="3"/>
  <c r="CZ105" i="3"/>
  <c r="CY105" i="3"/>
  <c r="CX105" i="3"/>
  <c r="CW105" i="3"/>
  <c r="CV105" i="3"/>
  <c r="CU105" i="3"/>
  <c r="CT105" i="3"/>
  <c r="CS105" i="3"/>
  <c r="CR105" i="3"/>
  <c r="CI105" i="3"/>
  <c r="BX105" i="3"/>
  <c r="BX144" i="3" s="1"/>
  <c r="BV105" i="3"/>
  <c r="CQ105" i="3" s="1"/>
  <c r="BU105" i="3"/>
  <c r="BQ105" i="3"/>
  <c r="BP105" i="3"/>
  <c r="BL105" i="3"/>
  <c r="BK105" i="3"/>
  <c r="BJ105" i="3"/>
  <c r="BI105" i="3"/>
  <c r="BH105" i="3"/>
  <c r="BG105" i="3"/>
  <c r="BF105" i="3"/>
  <c r="BE105" i="3"/>
  <c r="BD105" i="3"/>
  <c r="BC105" i="3"/>
  <c r="BA105" i="3"/>
  <c r="AR105" i="3"/>
  <c r="AG105" i="3"/>
  <c r="AE105" i="3"/>
  <c r="AD105" i="3"/>
  <c r="V105" i="3"/>
  <c r="H105" i="3"/>
  <c r="DG104" i="3"/>
  <c r="DF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CQ104" i="3"/>
  <c r="CP104" i="3"/>
  <c r="CM104" i="3"/>
  <c r="CI104" i="3"/>
  <c r="BS104" i="3" s="1"/>
  <c r="BP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Y104" i="3"/>
  <c r="AV104" i="3"/>
  <c r="BQ104" i="3" s="1"/>
  <c r="AR104" i="3"/>
  <c r="Z104" i="3"/>
  <c r="V104" i="3"/>
  <c r="DG103" i="3"/>
  <c r="DF103" i="3"/>
  <c r="DC103" i="3"/>
  <c r="DB103" i="3"/>
  <c r="DA103" i="3"/>
  <c r="CZ103" i="3"/>
  <c r="CY103" i="3"/>
  <c r="CX103" i="3"/>
  <c r="CW103" i="3"/>
  <c r="CV103" i="3"/>
  <c r="CU103" i="3"/>
  <c r="CT103" i="3"/>
  <c r="CS103" i="3"/>
  <c r="CR103" i="3"/>
  <c r="CQ103" i="3"/>
  <c r="CP103" i="3"/>
  <c r="CM103" i="3"/>
  <c r="CI103" i="3"/>
  <c r="DD103" i="3" s="1"/>
  <c r="BP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Y103" i="3"/>
  <c r="AV103" i="3"/>
  <c r="AR103" i="3"/>
  <c r="Z103" i="3"/>
  <c r="G103" i="3"/>
  <c r="DG102" i="3"/>
  <c r="DF102" i="3"/>
  <c r="DB102" i="3"/>
  <c r="DA102" i="3"/>
  <c r="CZ102" i="3"/>
  <c r="CY102" i="3"/>
  <c r="CX102" i="3"/>
  <c r="CW102" i="3"/>
  <c r="CV102" i="3"/>
  <c r="CU102" i="3"/>
  <c r="CT102" i="3"/>
  <c r="CS102" i="3"/>
  <c r="CR102" i="3"/>
  <c r="CQ102" i="3"/>
  <c r="CP102" i="3"/>
  <c r="CM102" i="3"/>
  <c r="DH102" i="3" s="1"/>
  <c r="CI102" i="3"/>
  <c r="DD102" i="3" s="1"/>
  <c r="CH102" i="3"/>
  <c r="DC102" i="3" s="1"/>
  <c r="BP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Y102" i="3"/>
  <c r="AV102" i="3"/>
  <c r="AR102" i="3"/>
  <c r="BM102" i="3" s="1"/>
  <c r="AQ102" i="3"/>
  <c r="Z102" i="3"/>
  <c r="V102" i="3"/>
  <c r="G102" i="3"/>
  <c r="DH101" i="3"/>
  <c r="DG101" i="3"/>
  <c r="DF101" i="3"/>
  <c r="DC101" i="3"/>
  <c r="DB101" i="3"/>
  <c r="DA101" i="3"/>
  <c r="CZ101" i="3"/>
  <c r="CY101" i="3"/>
  <c r="CX101" i="3"/>
  <c r="CW101" i="3"/>
  <c r="CV101" i="3"/>
  <c r="CU101" i="3"/>
  <c r="CT101" i="3"/>
  <c r="CS101" i="3"/>
  <c r="CR101" i="3"/>
  <c r="CQ101" i="3"/>
  <c r="CP101" i="3"/>
  <c r="CI101" i="3"/>
  <c r="BS101" i="3" s="1"/>
  <c r="BQ101" i="3"/>
  <c r="BP101" i="3"/>
  <c r="BO101" i="3"/>
  <c r="BO144" i="3" s="1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Y101" i="3"/>
  <c r="AR101" i="3"/>
  <c r="AB101" i="3" s="1"/>
  <c r="G101" i="3"/>
  <c r="DH100" i="3"/>
  <c r="DG100" i="3"/>
  <c r="DF100" i="3"/>
  <c r="DC100" i="3"/>
  <c r="DB100" i="3"/>
  <c r="DA100" i="3"/>
  <c r="CZ100" i="3"/>
  <c r="CY100" i="3"/>
  <c r="CX100" i="3"/>
  <c r="CW100" i="3"/>
  <c r="CV100" i="3"/>
  <c r="CU100" i="3"/>
  <c r="CT100" i="3"/>
  <c r="CS100" i="3"/>
  <c r="CR100" i="3"/>
  <c r="CQ100" i="3"/>
  <c r="CP100" i="3"/>
  <c r="BS100" i="3"/>
  <c r="BQ100" i="3"/>
  <c r="BP100" i="3"/>
  <c r="BL100" i="3"/>
  <c r="BK100" i="3"/>
  <c r="BJ100" i="3"/>
  <c r="BI100" i="3"/>
  <c r="BH100" i="3"/>
  <c r="BG100" i="3"/>
  <c r="BF100" i="3"/>
  <c r="BE100" i="3"/>
  <c r="BD100" i="3"/>
  <c r="BC100" i="3"/>
  <c r="BB100" i="3"/>
  <c r="BA100" i="3"/>
  <c r="AZ100" i="3"/>
  <c r="AY100" i="3"/>
  <c r="AB100" i="3"/>
  <c r="V100" i="3"/>
  <c r="G100" i="3" s="1"/>
  <c r="DH99" i="3"/>
  <c r="DG99" i="3"/>
  <c r="DF99" i="3"/>
  <c r="DB99" i="3"/>
  <c r="DA99" i="3"/>
  <c r="CZ99" i="3"/>
  <c r="CY99" i="3"/>
  <c r="CX99" i="3"/>
  <c r="CW99" i="3"/>
  <c r="CV99" i="3"/>
  <c r="CU99" i="3"/>
  <c r="CT99" i="3"/>
  <c r="CS99" i="3"/>
  <c r="CR99" i="3"/>
  <c r="CQ99" i="3"/>
  <c r="CP99" i="3"/>
  <c r="CI99" i="3"/>
  <c r="DD99" i="3" s="1"/>
  <c r="CH99" i="3"/>
  <c r="BQ99" i="3"/>
  <c r="BP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R99" i="3"/>
  <c r="BM99" i="3" s="1"/>
  <c r="AQ99" i="3"/>
  <c r="BL99" i="3" s="1"/>
  <c r="U99" i="3"/>
  <c r="DH98" i="3"/>
  <c r="DG98" i="3"/>
  <c r="DF98" i="3"/>
  <c r="DC98" i="3"/>
  <c r="DB98" i="3"/>
  <c r="DA98" i="3"/>
  <c r="CZ98" i="3"/>
  <c r="CY98" i="3"/>
  <c r="CX98" i="3"/>
  <c r="CW98" i="3"/>
  <c r="CV98" i="3"/>
  <c r="CU98" i="3"/>
  <c r="CT98" i="3"/>
  <c r="CS98" i="3"/>
  <c r="CR98" i="3"/>
  <c r="CQ98" i="3"/>
  <c r="CP98" i="3"/>
  <c r="CI98" i="3"/>
  <c r="DD98" i="3" s="1"/>
  <c r="BQ98" i="3"/>
  <c r="BP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Z98" i="3"/>
  <c r="AY98" i="3"/>
  <c r="AR98" i="3"/>
  <c r="AB98" i="3" s="1"/>
  <c r="G98" i="3"/>
  <c r="DG97" i="3"/>
  <c r="DF97" i="3"/>
  <c r="DC97" i="3"/>
  <c r="DB97" i="3"/>
  <c r="DA97" i="3"/>
  <c r="CZ97" i="3"/>
  <c r="CY97" i="3"/>
  <c r="CX97" i="3"/>
  <c r="CW97" i="3"/>
  <c r="CV97" i="3"/>
  <c r="CU97" i="3"/>
  <c r="CT97" i="3"/>
  <c r="CS97" i="3"/>
  <c r="CR97" i="3"/>
  <c r="CQ97" i="3"/>
  <c r="CP97" i="3"/>
  <c r="CM97" i="3"/>
  <c r="BP97" i="3"/>
  <c r="BL97" i="3"/>
  <c r="BK97" i="3"/>
  <c r="BJ97" i="3"/>
  <c r="BI97" i="3"/>
  <c r="BH97" i="3"/>
  <c r="BG97" i="3"/>
  <c r="BF97" i="3"/>
  <c r="BE97" i="3"/>
  <c r="BD97" i="3"/>
  <c r="BC97" i="3"/>
  <c r="BB97" i="3"/>
  <c r="BA97" i="3"/>
  <c r="AZ97" i="3"/>
  <c r="AY97" i="3"/>
  <c r="AV97" i="3"/>
  <c r="AR97" i="3"/>
  <c r="Z97" i="3"/>
  <c r="V97" i="3"/>
  <c r="DH96" i="3"/>
  <c r="DG96" i="3"/>
  <c r="DF96" i="3"/>
  <c r="DC96" i="3"/>
  <c r="DB96" i="3"/>
  <c r="DA96" i="3"/>
  <c r="CZ96" i="3"/>
  <c r="CY96" i="3"/>
  <c r="CX96" i="3"/>
  <c r="CW96" i="3"/>
  <c r="CV96" i="3"/>
  <c r="CU96" i="3"/>
  <c r="CT96" i="3"/>
  <c r="CS96" i="3"/>
  <c r="CR96" i="3"/>
  <c r="CQ96" i="3"/>
  <c r="CP96" i="3"/>
  <c r="CI96" i="3"/>
  <c r="BS96" i="3" s="1"/>
  <c r="BR96" i="3" s="1"/>
  <c r="CN96" i="3" s="1"/>
  <c r="BQ96" i="3"/>
  <c r="BP96" i="3"/>
  <c r="BL96" i="3"/>
  <c r="BK96" i="3"/>
  <c r="BJ96" i="3"/>
  <c r="BI96" i="3"/>
  <c r="BH96" i="3"/>
  <c r="BG96" i="3"/>
  <c r="BF96" i="3"/>
  <c r="BE96" i="3"/>
  <c r="BD96" i="3"/>
  <c r="BC96" i="3"/>
  <c r="BB96" i="3"/>
  <c r="BA96" i="3"/>
  <c r="AZ96" i="3"/>
  <c r="AY96" i="3"/>
  <c r="AR96" i="3"/>
  <c r="AB96" i="3" s="1"/>
  <c r="AA96" i="3" s="1"/>
  <c r="AW96" i="3" s="1"/>
  <c r="V96" i="3"/>
  <c r="G96" i="3" s="1"/>
  <c r="DH95" i="3"/>
  <c r="DG95" i="3"/>
  <c r="DF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Q95" i="3"/>
  <c r="CP95" i="3"/>
  <c r="CI95" i="3"/>
  <c r="BS95" i="3" s="1"/>
  <c r="BQ95" i="3"/>
  <c r="BP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Y95" i="3"/>
  <c r="AR95" i="3"/>
  <c r="AB95" i="3" s="1"/>
  <c r="AA95" i="3" s="1"/>
  <c r="AW95" i="3" s="1"/>
  <c r="V95" i="3"/>
  <c r="G95" i="3"/>
  <c r="DH94" i="3"/>
  <c r="DG94" i="3"/>
  <c r="DF94" i="3"/>
  <c r="DC94" i="3"/>
  <c r="DB94" i="3"/>
  <c r="DA94" i="3"/>
  <c r="CZ94" i="3"/>
  <c r="CY94" i="3"/>
  <c r="CX94" i="3"/>
  <c r="CW94" i="3"/>
  <c r="CV94" i="3"/>
  <c r="CU94" i="3"/>
  <c r="CT94" i="3"/>
  <c r="CS94" i="3"/>
  <c r="CR94" i="3"/>
  <c r="CQ94" i="3"/>
  <c r="CP94" i="3"/>
  <c r="CI94" i="3"/>
  <c r="BS94" i="3" s="1"/>
  <c r="BQ94" i="3"/>
  <c r="BP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Y94" i="3"/>
  <c r="AR94" i="3"/>
  <c r="V94" i="3"/>
  <c r="DE93" i="3"/>
  <c r="CL93" i="3"/>
  <c r="CK93" i="3"/>
  <c r="CI93" i="3"/>
  <c r="CH93" i="3"/>
  <c r="CG93" i="3"/>
  <c r="CD93" i="3"/>
  <c r="CC93" i="3"/>
  <c r="CB93" i="3"/>
  <c r="CA93" i="3"/>
  <c r="BZ93" i="3"/>
  <c r="BW93" i="3"/>
  <c r="BV93" i="3"/>
  <c r="BU93" i="3"/>
  <c r="BT93" i="3"/>
  <c r="BN93" i="3"/>
  <c r="AU93" i="3"/>
  <c r="AT93" i="3"/>
  <c r="AS93" i="3"/>
  <c r="AR93" i="3"/>
  <c r="AQ93" i="3"/>
  <c r="AP93" i="3"/>
  <c r="AM93" i="3"/>
  <c r="AL93" i="3"/>
  <c r="AK93" i="3"/>
  <c r="AJ93" i="3"/>
  <c r="AI93" i="3"/>
  <c r="AF93" i="3"/>
  <c r="AE93" i="3"/>
  <c r="AD93" i="3"/>
  <c r="Y93" i="3"/>
  <c r="X93" i="3"/>
  <c r="W93" i="3"/>
  <c r="V93" i="3"/>
  <c r="U93" i="3"/>
  <c r="T93" i="3"/>
  <c r="R93" i="3"/>
  <c r="Q93" i="3"/>
  <c r="P93" i="3"/>
  <c r="O93" i="3"/>
  <c r="N93" i="3"/>
  <c r="M93" i="3"/>
  <c r="J93" i="3"/>
  <c r="I93" i="3"/>
  <c r="H93" i="3"/>
  <c r="DH92" i="3"/>
  <c r="DG92" i="3"/>
  <c r="DF92" i="3"/>
  <c r="DD92" i="3"/>
  <c r="DC92" i="3"/>
  <c r="DB92" i="3"/>
  <c r="DA92" i="3"/>
  <c r="CZ92" i="3"/>
  <c r="CY92" i="3"/>
  <c r="CX92" i="3"/>
  <c r="CW92" i="3"/>
  <c r="CV92" i="3"/>
  <c r="CU92" i="3"/>
  <c r="CT92" i="3"/>
  <c r="CS92" i="3"/>
  <c r="CR92" i="3"/>
  <c r="CQ92" i="3"/>
  <c r="CP92" i="3"/>
  <c r="CM92" i="3"/>
  <c r="BS92" i="3" s="1"/>
  <c r="BP92" i="3"/>
  <c r="BO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BA92" i="3"/>
  <c r="AZ92" i="3"/>
  <c r="AY92" i="3"/>
  <c r="AV92" i="3"/>
  <c r="AB92" i="3" s="1"/>
  <c r="Z92" i="3"/>
  <c r="DH91" i="3"/>
  <c r="DG91" i="3"/>
  <c r="DF91" i="3"/>
  <c r="DD91" i="3"/>
  <c r="DC91" i="3"/>
  <c r="DB91" i="3"/>
  <c r="CZ91" i="3"/>
  <c r="CY91" i="3"/>
  <c r="CX91" i="3"/>
  <c r="CW91" i="3"/>
  <c r="CV91" i="3"/>
  <c r="CU91" i="3"/>
  <c r="CT91" i="3"/>
  <c r="CR91" i="3"/>
  <c r="CQ91" i="3"/>
  <c r="CP91" i="3"/>
  <c r="CF91" i="3"/>
  <c r="BX91" i="3"/>
  <c r="CS91" i="3" s="1"/>
  <c r="BQ91" i="3"/>
  <c r="BP91" i="3"/>
  <c r="BO91" i="3"/>
  <c r="BM91" i="3"/>
  <c r="BL91" i="3"/>
  <c r="BK91" i="3"/>
  <c r="BI91" i="3"/>
  <c r="BH91" i="3"/>
  <c r="BG91" i="3"/>
  <c r="BF91" i="3"/>
  <c r="BE91" i="3"/>
  <c r="BD91" i="3"/>
  <c r="BC91" i="3"/>
  <c r="BA91" i="3"/>
  <c r="AZ91" i="3"/>
  <c r="AY91" i="3"/>
  <c r="AO91" i="3"/>
  <c r="AG91" i="3"/>
  <c r="S91" i="3"/>
  <c r="G91" i="3"/>
  <c r="DG90" i="3"/>
  <c r="DF90" i="3"/>
  <c r="DD90" i="3"/>
  <c r="DC90" i="3"/>
  <c r="DB90" i="3"/>
  <c r="DA90" i="3"/>
  <c r="CZ90" i="3"/>
  <c r="CY90" i="3"/>
  <c r="CX90" i="3"/>
  <c r="CW90" i="3"/>
  <c r="CV90" i="3"/>
  <c r="CU90" i="3"/>
  <c r="CT90" i="3"/>
  <c r="CR90" i="3"/>
  <c r="CQ90" i="3"/>
  <c r="CP90" i="3"/>
  <c r="CM90" i="3"/>
  <c r="BS90" i="3" s="1"/>
  <c r="BX90" i="3"/>
  <c r="CS90" i="3" s="1"/>
  <c r="BP90" i="3"/>
  <c r="BM90" i="3"/>
  <c r="BL90" i="3"/>
  <c r="BK90" i="3"/>
  <c r="BJ90" i="3"/>
  <c r="BI90" i="3"/>
  <c r="BH90" i="3"/>
  <c r="BG90" i="3"/>
  <c r="BF90" i="3"/>
  <c r="BE90" i="3"/>
  <c r="BD90" i="3"/>
  <c r="BC90" i="3"/>
  <c r="BA90" i="3"/>
  <c r="AZ90" i="3"/>
  <c r="AY90" i="3"/>
  <c r="AV90" i="3"/>
  <c r="AG90" i="3"/>
  <c r="Z90" i="3"/>
  <c r="DH89" i="3"/>
  <c r="DG89" i="3"/>
  <c r="DF89" i="3"/>
  <c r="DD89" i="3"/>
  <c r="DC89" i="3"/>
  <c r="DB89" i="3"/>
  <c r="DA89" i="3"/>
  <c r="CZ89" i="3"/>
  <c r="CY89" i="3"/>
  <c r="CX89" i="3"/>
  <c r="CW89" i="3"/>
  <c r="CV89" i="3"/>
  <c r="CU89" i="3"/>
  <c r="CT89" i="3"/>
  <c r="CR89" i="3"/>
  <c r="CQ89" i="3"/>
  <c r="CP89" i="3"/>
  <c r="BX89" i="3"/>
  <c r="CS89" i="3" s="1"/>
  <c r="BQ89" i="3"/>
  <c r="BP89" i="3"/>
  <c r="BM89" i="3"/>
  <c r="BL89" i="3"/>
  <c r="BK89" i="3"/>
  <c r="BJ89" i="3"/>
  <c r="BI89" i="3"/>
  <c r="BH89" i="3"/>
  <c r="BG89" i="3"/>
  <c r="BF89" i="3"/>
  <c r="BE89" i="3"/>
  <c r="BD89" i="3"/>
  <c r="BC89" i="3"/>
  <c r="BA89" i="3"/>
  <c r="AZ89" i="3"/>
  <c r="AY89" i="3"/>
  <c r="AG89" i="3"/>
  <c r="G89" i="3"/>
  <c r="DH88" i="3"/>
  <c r="DG88" i="3"/>
  <c r="DF88" i="3"/>
  <c r="DD88" i="3"/>
  <c r="DC88" i="3"/>
  <c r="DB88" i="3"/>
  <c r="DA88" i="3"/>
  <c r="CZ88" i="3"/>
  <c r="CY88" i="3"/>
  <c r="CX88" i="3"/>
  <c r="CW88" i="3"/>
  <c r="CV88" i="3"/>
  <c r="CU88" i="3"/>
  <c r="CT88" i="3"/>
  <c r="CR88" i="3"/>
  <c r="CQ88" i="3"/>
  <c r="CP88" i="3"/>
  <c r="BX88" i="3"/>
  <c r="CS88" i="3" s="1"/>
  <c r="BQ88" i="3"/>
  <c r="BP88" i="3"/>
  <c r="BM88" i="3"/>
  <c r="BL88" i="3"/>
  <c r="BK88" i="3"/>
  <c r="BJ88" i="3"/>
  <c r="BI88" i="3"/>
  <c r="BH88" i="3"/>
  <c r="BG88" i="3"/>
  <c r="BF88" i="3"/>
  <c r="BE88" i="3"/>
  <c r="BD88" i="3"/>
  <c r="BC88" i="3"/>
  <c r="BA88" i="3"/>
  <c r="AZ88" i="3"/>
  <c r="AY88" i="3"/>
  <c r="AG88" i="3"/>
  <c r="BB88" i="3" s="1"/>
  <c r="G88" i="3"/>
  <c r="DH87" i="3"/>
  <c r="DG87" i="3"/>
  <c r="DF87" i="3"/>
  <c r="DD87" i="3"/>
  <c r="DC87" i="3"/>
  <c r="DB87" i="3"/>
  <c r="DA87" i="3"/>
  <c r="CZ87" i="3"/>
  <c r="CY87" i="3"/>
  <c r="CX87" i="3"/>
  <c r="CW87" i="3"/>
  <c r="CV87" i="3"/>
  <c r="CU87" i="3"/>
  <c r="CT87" i="3"/>
  <c r="CS87" i="3"/>
  <c r="CR87" i="3"/>
  <c r="CQ87" i="3"/>
  <c r="CP87" i="3"/>
  <c r="BS87" i="3"/>
  <c r="BR87" i="3" s="1"/>
  <c r="CN87" i="3" s="1"/>
  <c r="BQ87" i="3"/>
  <c r="BP87" i="3"/>
  <c r="BO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BA87" i="3"/>
  <c r="AZ87" i="3"/>
  <c r="AY87" i="3"/>
  <c r="AB87" i="3"/>
  <c r="G87" i="3"/>
  <c r="DH86" i="3"/>
  <c r="DG86" i="3"/>
  <c r="DF86" i="3"/>
  <c r="DD86" i="3"/>
  <c r="DC86" i="3"/>
  <c r="DB86" i="3"/>
  <c r="DA86" i="3"/>
  <c r="CZ86" i="3"/>
  <c r="CY86" i="3"/>
  <c r="CX86" i="3"/>
  <c r="CW86" i="3"/>
  <c r="CV86" i="3"/>
  <c r="CU86" i="3"/>
  <c r="CT86" i="3"/>
  <c r="CR86" i="3"/>
  <c r="CQ86" i="3"/>
  <c r="CP86" i="3"/>
  <c r="BX86" i="3"/>
  <c r="CS86" i="3" s="1"/>
  <c r="BQ86" i="3"/>
  <c r="BP86" i="3"/>
  <c r="BM86" i="3"/>
  <c r="BL86" i="3"/>
  <c r="BK86" i="3"/>
  <c r="BJ86" i="3"/>
  <c r="BI86" i="3"/>
  <c r="BH86" i="3"/>
  <c r="BG86" i="3"/>
  <c r="BF86" i="3"/>
  <c r="BE86" i="3"/>
  <c r="BD86" i="3"/>
  <c r="BC86" i="3"/>
  <c r="BA86" i="3"/>
  <c r="AZ86" i="3"/>
  <c r="AY86" i="3"/>
  <c r="AG86" i="3"/>
  <c r="AB86" i="3" s="1"/>
  <c r="G86" i="3"/>
  <c r="DH85" i="3"/>
  <c r="DG85" i="3"/>
  <c r="DF85" i="3"/>
  <c r="DD85" i="3"/>
  <c r="DC85" i="3"/>
  <c r="DB85" i="3"/>
  <c r="CZ85" i="3"/>
  <c r="CY85" i="3"/>
  <c r="CX85" i="3"/>
  <c r="CW85" i="3"/>
  <c r="CV85" i="3"/>
  <c r="CU85" i="3"/>
  <c r="CT85" i="3"/>
  <c r="CS85" i="3"/>
  <c r="CR85" i="3"/>
  <c r="CQ85" i="3"/>
  <c r="CP85" i="3"/>
  <c r="CF85" i="3"/>
  <c r="BS85" i="3" s="1"/>
  <c r="BR85" i="3" s="1"/>
  <c r="CN85" i="3" s="1"/>
  <c r="BQ85" i="3"/>
  <c r="BP85" i="3"/>
  <c r="BO85" i="3"/>
  <c r="BM85" i="3"/>
  <c r="BL85" i="3"/>
  <c r="BK85" i="3"/>
  <c r="BI85" i="3"/>
  <c r="BH85" i="3"/>
  <c r="BG85" i="3"/>
  <c r="BF85" i="3"/>
  <c r="BE85" i="3"/>
  <c r="BD85" i="3"/>
  <c r="BC85" i="3"/>
  <c r="BA85" i="3"/>
  <c r="AZ85" i="3"/>
  <c r="AY85" i="3"/>
  <c r="AO85" i="3"/>
  <c r="BJ85" i="3" s="1"/>
  <c r="AG85" i="3"/>
  <c r="G85" i="3"/>
  <c r="DH84" i="3"/>
  <c r="DG84" i="3"/>
  <c r="DF84" i="3"/>
  <c r="DD84" i="3"/>
  <c r="DC84" i="3"/>
  <c r="DB84" i="3"/>
  <c r="CZ84" i="3"/>
  <c r="CY84" i="3"/>
  <c r="CX84" i="3"/>
  <c r="CW84" i="3"/>
  <c r="CV84" i="3"/>
  <c r="CU84" i="3"/>
  <c r="CT84" i="3"/>
  <c r="CR84" i="3"/>
  <c r="CQ84" i="3"/>
  <c r="CP84" i="3"/>
  <c r="CF84" i="3"/>
  <c r="BX84" i="3"/>
  <c r="CS84" i="3" s="1"/>
  <c r="BQ84" i="3"/>
  <c r="BP84" i="3"/>
  <c r="BM84" i="3"/>
  <c r="BL84" i="3"/>
  <c r="BK84" i="3"/>
  <c r="BI84" i="3"/>
  <c r="BH84" i="3"/>
  <c r="BG84" i="3"/>
  <c r="BF84" i="3"/>
  <c r="BE84" i="3"/>
  <c r="BD84" i="3"/>
  <c r="BC84" i="3"/>
  <c r="BA84" i="3"/>
  <c r="AZ84" i="3"/>
  <c r="AY84" i="3"/>
  <c r="AO84" i="3"/>
  <c r="AG84" i="3"/>
  <c r="S84" i="3"/>
  <c r="G84" i="3"/>
  <c r="DH83" i="3"/>
  <c r="DG83" i="3"/>
  <c r="DF83" i="3"/>
  <c r="DD83" i="3"/>
  <c r="DC83" i="3"/>
  <c r="DB83" i="3"/>
  <c r="CZ83" i="3"/>
  <c r="CY83" i="3"/>
  <c r="CX83" i="3"/>
  <c r="CW83" i="3"/>
  <c r="CV83" i="3"/>
  <c r="CU83" i="3"/>
  <c r="CT83" i="3"/>
  <c r="CR83" i="3"/>
  <c r="CQ83" i="3"/>
  <c r="CP83" i="3"/>
  <c r="CF83" i="3"/>
  <c r="DA83" i="3" s="1"/>
  <c r="BX83" i="3"/>
  <c r="CS83" i="3" s="1"/>
  <c r="BQ83" i="3"/>
  <c r="BP83" i="3"/>
  <c r="BM83" i="3"/>
  <c r="BL83" i="3"/>
  <c r="BK83" i="3"/>
  <c r="BI83" i="3"/>
  <c r="BH83" i="3"/>
  <c r="BG83" i="3"/>
  <c r="BF83" i="3"/>
  <c r="BE83" i="3"/>
  <c r="BD83" i="3"/>
  <c r="BC83" i="3"/>
  <c r="BA83" i="3"/>
  <c r="AZ83" i="3"/>
  <c r="AY83" i="3"/>
  <c r="AO83" i="3"/>
  <c r="BJ83" i="3" s="1"/>
  <c r="AG83" i="3"/>
  <c r="BB83" i="3" s="1"/>
  <c r="G83" i="3"/>
  <c r="DH82" i="3"/>
  <c r="DG82" i="3"/>
  <c r="DF82" i="3"/>
  <c r="DD82" i="3"/>
  <c r="DC82" i="3"/>
  <c r="DB82" i="3"/>
  <c r="CZ82" i="3"/>
  <c r="CY82" i="3"/>
  <c r="CX82" i="3"/>
  <c r="CW82" i="3"/>
  <c r="CV82" i="3"/>
  <c r="CU82" i="3"/>
  <c r="CT82" i="3"/>
  <c r="CS82" i="3"/>
  <c r="CR82" i="3"/>
  <c r="CQ82" i="3"/>
  <c r="CP82" i="3"/>
  <c r="CF82" i="3"/>
  <c r="BS82" i="3" s="1"/>
  <c r="BQ82" i="3"/>
  <c r="BP82" i="3"/>
  <c r="BM82" i="3"/>
  <c r="BL82" i="3"/>
  <c r="BK82" i="3"/>
  <c r="BI82" i="3"/>
  <c r="BH82" i="3"/>
  <c r="BG82" i="3"/>
  <c r="BF82" i="3"/>
  <c r="BE82" i="3"/>
  <c r="BD82" i="3"/>
  <c r="BC82" i="3"/>
  <c r="BA82" i="3"/>
  <c r="AZ82" i="3"/>
  <c r="AY82" i="3"/>
  <c r="AO82" i="3"/>
  <c r="AG82" i="3"/>
  <c r="S82" i="3"/>
  <c r="G82" i="3"/>
  <c r="DH81" i="3"/>
  <c r="DG81" i="3"/>
  <c r="DF81" i="3"/>
  <c r="DD81" i="3"/>
  <c r="DC81" i="3"/>
  <c r="DB81" i="3"/>
  <c r="DA81" i="3"/>
  <c r="CZ81" i="3"/>
  <c r="CY81" i="3"/>
  <c r="CX81" i="3"/>
  <c r="CW81" i="3"/>
  <c r="CV81" i="3"/>
  <c r="CU81" i="3"/>
  <c r="CT81" i="3"/>
  <c r="CR81" i="3"/>
  <c r="CQ81" i="3"/>
  <c r="CP81" i="3"/>
  <c r="BX81" i="3"/>
  <c r="CS81" i="3" s="1"/>
  <c r="BQ81" i="3"/>
  <c r="BP81" i="3"/>
  <c r="BM81" i="3"/>
  <c r="BL81" i="3"/>
  <c r="BK81" i="3"/>
  <c r="BJ81" i="3"/>
  <c r="BI81" i="3"/>
  <c r="BH81" i="3"/>
  <c r="BG81" i="3"/>
  <c r="BF81" i="3"/>
  <c r="BE81" i="3"/>
  <c r="BD81" i="3"/>
  <c r="BC81" i="3"/>
  <c r="BA81" i="3"/>
  <c r="AZ81" i="3"/>
  <c r="AY81" i="3"/>
  <c r="AG81" i="3"/>
  <c r="BB81" i="3" s="1"/>
  <c r="G81" i="3"/>
  <c r="DH80" i="3"/>
  <c r="DG80" i="3"/>
  <c r="DF80" i="3"/>
  <c r="DD80" i="3"/>
  <c r="DC80" i="3"/>
  <c r="DB80" i="3"/>
  <c r="DA80" i="3"/>
  <c r="CZ80" i="3"/>
  <c r="CY80" i="3"/>
  <c r="CX80" i="3"/>
  <c r="CW80" i="3"/>
  <c r="CV80" i="3"/>
  <c r="CU80" i="3"/>
  <c r="CT80" i="3"/>
  <c r="CR80" i="3"/>
  <c r="CQ80" i="3"/>
  <c r="CP80" i="3"/>
  <c r="BX80" i="3"/>
  <c r="CS80" i="3" s="1"/>
  <c r="BQ80" i="3"/>
  <c r="BP80" i="3"/>
  <c r="BM80" i="3"/>
  <c r="BL80" i="3"/>
  <c r="BK80" i="3"/>
  <c r="BJ80" i="3"/>
  <c r="BI80" i="3"/>
  <c r="BH80" i="3"/>
  <c r="BG80" i="3"/>
  <c r="BF80" i="3"/>
  <c r="BE80" i="3"/>
  <c r="BD80" i="3"/>
  <c r="BC80" i="3"/>
  <c r="BA80" i="3"/>
  <c r="AZ80" i="3"/>
  <c r="AY80" i="3"/>
  <c r="AG80" i="3"/>
  <c r="BB80" i="3" s="1"/>
  <c r="G80" i="3"/>
  <c r="DH79" i="3"/>
  <c r="DD79" i="3"/>
  <c r="DC79" i="3"/>
  <c r="DB79" i="3"/>
  <c r="DA79" i="3"/>
  <c r="CZ79" i="3"/>
  <c r="CY79" i="3"/>
  <c r="CR79" i="3"/>
  <c r="CQ79" i="3"/>
  <c r="CP79" i="3"/>
  <c r="BX79" i="3"/>
  <c r="BS79" i="3" s="1"/>
  <c r="BQ79" i="3"/>
  <c r="BP79" i="3"/>
  <c r="BM79" i="3"/>
  <c r="BL79" i="3"/>
  <c r="BK79" i="3"/>
  <c r="BJ79" i="3"/>
  <c r="BI79" i="3"/>
  <c r="BH79" i="3"/>
  <c r="BA79" i="3"/>
  <c r="AZ79" i="3"/>
  <c r="AY79" i="3"/>
  <c r="AG79" i="3"/>
  <c r="AB79" i="3" s="1"/>
  <c r="G79" i="3"/>
  <c r="DH78" i="3"/>
  <c r="DD78" i="3"/>
  <c r="DC78" i="3"/>
  <c r="DB78" i="3"/>
  <c r="DA78" i="3"/>
  <c r="CZ78" i="3"/>
  <c r="CY78" i="3"/>
  <c r="CR78" i="3"/>
  <c r="CQ78" i="3"/>
  <c r="CP78" i="3"/>
  <c r="BX78" i="3"/>
  <c r="BS78" i="3" s="1"/>
  <c r="BQ78" i="3"/>
  <c r="BP78" i="3"/>
  <c r="BM78" i="3"/>
  <c r="BL78" i="3"/>
  <c r="BK78" i="3"/>
  <c r="BJ78" i="3"/>
  <c r="BI78" i="3"/>
  <c r="BH78" i="3"/>
  <c r="BA78" i="3"/>
  <c r="AZ78" i="3"/>
  <c r="AY78" i="3"/>
  <c r="AG78" i="3"/>
  <c r="K78" i="3"/>
  <c r="G78" i="3" s="1"/>
  <c r="DH77" i="3"/>
  <c r="DD77" i="3"/>
  <c r="DC77" i="3"/>
  <c r="DB77" i="3"/>
  <c r="DA77" i="3"/>
  <c r="CZ77" i="3"/>
  <c r="CY77" i="3"/>
  <c r="CR77" i="3"/>
  <c r="CQ77" i="3"/>
  <c r="CP77" i="3"/>
  <c r="BS77" i="3"/>
  <c r="BQ77" i="3"/>
  <c r="BP77" i="3"/>
  <c r="BM77" i="3"/>
  <c r="BL77" i="3"/>
  <c r="BJ77" i="3"/>
  <c r="BI77" i="3"/>
  <c r="BH77" i="3"/>
  <c r="BA77" i="3"/>
  <c r="AZ77" i="3"/>
  <c r="AY77" i="3"/>
  <c r="AB77" i="3"/>
  <c r="K77" i="3"/>
  <c r="BB77" i="3" s="1"/>
  <c r="G77" i="3"/>
  <c r="DH76" i="3"/>
  <c r="DD76" i="3"/>
  <c r="DC76" i="3"/>
  <c r="DB76" i="3"/>
  <c r="DA76" i="3"/>
  <c r="CZ76" i="3"/>
  <c r="CY76" i="3"/>
  <c r="CR76" i="3"/>
  <c r="CQ76" i="3"/>
  <c r="CP76" i="3"/>
  <c r="BS76" i="3"/>
  <c r="BQ76" i="3"/>
  <c r="BP76" i="3"/>
  <c r="BM76" i="3"/>
  <c r="BL76" i="3"/>
  <c r="BJ76" i="3"/>
  <c r="BI76" i="3"/>
  <c r="BH76" i="3"/>
  <c r="BA76" i="3"/>
  <c r="AZ76" i="3"/>
  <c r="AY76" i="3"/>
  <c r="AB76" i="3"/>
  <c r="K76" i="3"/>
  <c r="BB76" i="3" s="1"/>
  <c r="G76" i="3"/>
  <c r="DG75" i="3"/>
  <c r="DF75" i="3"/>
  <c r="DD75" i="3"/>
  <c r="DC75" i="3"/>
  <c r="DB75" i="3"/>
  <c r="DA75" i="3"/>
  <c r="CZ75" i="3"/>
  <c r="CY75" i="3"/>
  <c r="CX75" i="3"/>
  <c r="CW75" i="3"/>
  <c r="CV75" i="3"/>
  <c r="CU75" i="3"/>
  <c r="CT75" i="3"/>
  <c r="CS75" i="3"/>
  <c r="CR75" i="3"/>
  <c r="CQ75" i="3"/>
  <c r="CP75" i="3"/>
  <c r="CM75" i="3"/>
  <c r="BS75" i="3" s="1"/>
  <c r="BP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BA75" i="3"/>
  <c r="AZ75" i="3"/>
  <c r="AY75" i="3"/>
  <c r="AV75" i="3"/>
  <c r="BQ75" i="3" s="1"/>
  <c r="Z75" i="3"/>
  <c r="G75" i="3" s="1"/>
  <c r="DH74" i="3"/>
  <c r="DG74" i="3"/>
  <c r="DF74" i="3"/>
  <c r="DD74" i="3"/>
  <c r="DC74" i="3"/>
  <c r="DB74" i="3"/>
  <c r="DA74" i="3"/>
  <c r="CZ74" i="3"/>
  <c r="CY74" i="3"/>
  <c r="CX74" i="3"/>
  <c r="CW74" i="3"/>
  <c r="CV74" i="3"/>
  <c r="CU74" i="3"/>
  <c r="CT74" i="3"/>
  <c r="CR74" i="3"/>
  <c r="CQ74" i="3"/>
  <c r="CP74" i="3"/>
  <c r="BX74" i="3"/>
  <c r="BS74" i="3" s="1"/>
  <c r="BQ74" i="3"/>
  <c r="BP74" i="3"/>
  <c r="BM74" i="3"/>
  <c r="BL74" i="3"/>
  <c r="BK74" i="3"/>
  <c r="BJ74" i="3"/>
  <c r="BI74" i="3"/>
  <c r="BH74" i="3"/>
  <c r="BG74" i="3"/>
  <c r="BF74" i="3"/>
  <c r="BE74" i="3"/>
  <c r="BD74" i="3"/>
  <c r="BC74" i="3"/>
  <c r="BA74" i="3"/>
  <c r="AZ74" i="3"/>
  <c r="AY74" i="3"/>
  <c r="AG74" i="3"/>
  <c r="AB74" i="3" s="1"/>
  <c r="K74" i="3"/>
  <c r="DH73" i="3"/>
  <c r="DG73" i="3"/>
  <c r="DF73" i="3"/>
  <c r="DD73" i="3"/>
  <c r="DC73" i="3"/>
  <c r="DB73" i="3"/>
  <c r="DA73" i="3"/>
  <c r="CZ73" i="3"/>
  <c r="CY73" i="3"/>
  <c r="CX73" i="3"/>
  <c r="CW73" i="3"/>
  <c r="CV73" i="3"/>
  <c r="CU73" i="3"/>
  <c r="CT73" i="3"/>
  <c r="CR73" i="3"/>
  <c r="CQ73" i="3"/>
  <c r="CP73" i="3"/>
  <c r="BX73" i="3"/>
  <c r="BS73" i="3"/>
  <c r="BR73" i="3"/>
  <c r="CN73" i="3" s="1"/>
  <c r="BQ73" i="3"/>
  <c r="BP73" i="3"/>
  <c r="BM73" i="3"/>
  <c r="BL73" i="3"/>
  <c r="BK73" i="3"/>
  <c r="BJ73" i="3"/>
  <c r="BI73" i="3"/>
  <c r="BH73" i="3"/>
  <c r="BG73" i="3"/>
  <c r="BF73" i="3"/>
  <c r="BE73" i="3"/>
  <c r="BD73" i="3"/>
  <c r="BC73" i="3"/>
  <c r="BA73" i="3"/>
  <c r="AZ73" i="3"/>
  <c r="AY73" i="3"/>
  <c r="AG73" i="3"/>
  <c r="AB73" i="3" s="1"/>
  <c r="K73" i="3"/>
  <c r="G73" i="3"/>
  <c r="DH72" i="3"/>
  <c r="DG72" i="3"/>
  <c r="DF72" i="3"/>
  <c r="DD72" i="3"/>
  <c r="DC72" i="3"/>
  <c r="DB72" i="3"/>
  <c r="DA72" i="3"/>
  <c r="CZ72" i="3"/>
  <c r="CY72" i="3"/>
  <c r="CX72" i="3"/>
  <c r="CW72" i="3"/>
  <c r="CV72" i="3"/>
  <c r="CU72" i="3"/>
  <c r="CT72" i="3"/>
  <c r="CR72" i="3"/>
  <c r="CQ72" i="3"/>
  <c r="CP72" i="3"/>
  <c r="BX72" i="3"/>
  <c r="CS72" i="3" s="1"/>
  <c r="BQ72" i="3"/>
  <c r="BP72" i="3"/>
  <c r="BO72" i="3"/>
  <c r="BM72" i="3"/>
  <c r="BL72" i="3"/>
  <c r="BK72" i="3"/>
  <c r="BJ72" i="3"/>
  <c r="BI72" i="3"/>
  <c r="BH72" i="3"/>
  <c r="BG72" i="3"/>
  <c r="BF72" i="3"/>
  <c r="BE72" i="3"/>
  <c r="BD72" i="3"/>
  <c r="BC72" i="3"/>
  <c r="BA72" i="3"/>
  <c r="AZ72" i="3"/>
  <c r="AY72" i="3"/>
  <c r="AG72" i="3"/>
  <c r="AB72" i="3" s="1"/>
  <c r="G72" i="3"/>
  <c r="DH71" i="3"/>
  <c r="DG71" i="3"/>
  <c r="DF71" i="3"/>
  <c r="DD71" i="3"/>
  <c r="DC71" i="3"/>
  <c r="DB71" i="3"/>
  <c r="DA71" i="3"/>
  <c r="CZ71" i="3"/>
  <c r="CY71" i="3"/>
  <c r="CX71" i="3"/>
  <c r="CW71" i="3"/>
  <c r="CV71" i="3"/>
  <c r="CU71" i="3"/>
  <c r="CT71" i="3"/>
  <c r="CR71" i="3"/>
  <c r="CQ71" i="3"/>
  <c r="CP71" i="3"/>
  <c r="BX71" i="3"/>
  <c r="BS71" i="3" s="1"/>
  <c r="BQ71" i="3"/>
  <c r="BP71" i="3"/>
  <c r="BO71" i="3"/>
  <c r="BM71" i="3"/>
  <c r="BL71" i="3"/>
  <c r="BK71" i="3"/>
  <c r="BJ71" i="3"/>
  <c r="BI71" i="3"/>
  <c r="BH71" i="3"/>
  <c r="BG71" i="3"/>
  <c r="BF71" i="3"/>
  <c r="BE71" i="3"/>
  <c r="BD71" i="3"/>
  <c r="BC71" i="3"/>
  <c r="BA71" i="3"/>
  <c r="AZ71" i="3"/>
  <c r="AY71" i="3"/>
  <c r="AG71" i="3"/>
  <c r="BB71" i="3" s="1"/>
  <c r="G71" i="3"/>
  <c r="DG70" i="3"/>
  <c r="DF70" i="3"/>
  <c r="DD70" i="3"/>
  <c r="DC70" i="3"/>
  <c r="DB70" i="3"/>
  <c r="CZ70" i="3"/>
  <c r="CY70" i="3"/>
  <c r="CX70" i="3"/>
  <c r="CW70" i="3"/>
  <c r="CV70" i="3"/>
  <c r="CU70" i="3"/>
  <c r="CT70" i="3"/>
  <c r="CS70" i="3"/>
  <c r="CR70" i="3"/>
  <c r="CQ70" i="3"/>
  <c r="CP70" i="3"/>
  <c r="CM70" i="3"/>
  <c r="DH70" i="3" s="1"/>
  <c r="CF70" i="3"/>
  <c r="BP70" i="3"/>
  <c r="BM70" i="3"/>
  <c r="BL70" i="3"/>
  <c r="BK70" i="3"/>
  <c r="BI70" i="3"/>
  <c r="BH70" i="3"/>
  <c r="BG70" i="3"/>
  <c r="BF70" i="3"/>
  <c r="BE70" i="3"/>
  <c r="BD70" i="3"/>
  <c r="BC70" i="3"/>
  <c r="BB70" i="3"/>
  <c r="BA70" i="3"/>
  <c r="AZ70" i="3"/>
  <c r="AY70" i="3"/>
  <c r="AV70" i="3"/>
  <c r="BQ70" i="3" s="1"/>
  <c r="AO70" i="3"/>
  <c r="BJ70" i="3" s="1"/>
  <c r="Z70" i="3"/>
  <c r="G70" i="3"/>
  <c r="DG69" i="3"/>
  <c r="DF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CR69" i="3"/>
  <c r="CQ69" i="3"/>
  <c r="CP69" i="3"/>
  <c r="CM69" i="3"/>
  <c r="BS69" i="3" s="1"/>
  <c r="BP69" i="3"/>
  <c r="BO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Z69" i="3"/>
  <c r="AY69" i="3"/>
  <c r="AV69" i="3"/>
  <c r="BQ69" i="3" s="1"/>
  <c r="Z69" i="3"/>
  <c r="G69" i="3"/>
  <c r="DG68" i="3"/>
  <c r="DF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R68" i="3"/>
  <c r="CQ68" i="3"/>
  <c r="CP68" i="3"/>
  <c r="CM68" i="3"/>
  <c r="BP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Y68" i="3"/>
  <c r="AV68" i="3"/>
  <c r="AB68" i="3" s="1"/>
  <c r="Z68" i="3"/>
  <c r="G68" i="3" s="1"/>
  <c r="DG67" i="3"/>
  <c r="DF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CR93" i="3" s="1"/>
  <c r="CQ67" i="3"/>
  <c r="CP67" i="3"/>
  <c r="CM67" i="3"/>
  <c r="BS67" i="3" s="1"/>
  <c r="BP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Y67" i="3"/>
  <c r="AV67" i="3"/>
  <c r="AB67" i="3" s="1"/>
  <c r="Z67" i="3"/>
  <c r="G67" i="3" s="1"/>
  <c r="DH66" i="3"/>
  <c r="DG66" i="3"/>
  <c r="DF66" i="3"/>
  <c r="DD66" i="3"/>
  <c r="DC66" i="3"/>
  <c r="DB66" i="3"/>
  <c r="DA66" i="3"/>
  <c r="CY66" i="3"/>
  <c r="CX66" i="3"/>
  <c r="CW66" i="3"/>
  <c r="CV66" i="3"/>
  <c r="CU66" i="3"/>
  <c r="CT66" i="3"/>
  <c r="CR66" i="3"/>
  <c r="CQ66" i="3"/>
  <c r="CP66" i="3"/>
  <c r="CE66" i="3"/>
  <c r="CE141" i="3" s="1"/>
  <c r="BX66" i="3"/>
  <c r="BQ66" i="3"/>
  <c r="BP66" i="3"/>
  <c r="BM66" i="3"/>
  <c r="BL66" i="3"/>
  <c r="BK66" i="3"/>
  <c r="BJ66" i="3"/>
  <c r="BH66" i="3"/>
  <c r="BG66" i="3"/>
  <c r="BF66" i="3"/>
  <c r="BE66" i="3"/>
  <c r="BD66" i="3"/>
  <c r="BC66" i="3"/>
  <c r="BA66" i="3"/>
  <c r="AZ66" i="3"/>
  <c r="AY66" i="3"/>
  <c r="AN66" i="3"/>
  <c r="AG66" i="3"/>
  <c r="R66" i="3"/>
  <c r="R141" i="3" s="1"/>
  <c r="K66" i="3"/>
  <c r="G66" i="3"/>
  <c r="DH65" i="3"/>
  <c r="DG65" i="3"/>
  <c r="DF65" i="3"/>
  <c r="DD65" i="3"/>
  <c r="DC65" i="3"/>
  <c r="DB65" i="3"/>
  <c r="CZ65" i="3"/>
  <c r="CY65" i="3"/>
  <c r="CX65" i="3"/>
  <c r="CW65" i="3"/>
  <c r="CV65" i="3"/>
  <c r="CU65" i="3"/>
  <c r="CT65" i="3"/>
  <c r="CR65" i="3"/>
  <c r="CQ65" i="3"/>
  <c r="CP65" i="3"/>
  <c r="CF65" i="3"/>
  <c r="BX65" i="3"/>
  <c r="BQ65" i="3"/>
  <c r="BP65" i="3"/>
  <c r="BM65" i="3"/>
  <c r="BL65" i="3"/>
  <c r="BK65" i="3"/>
  <c r="BI65" i="3"/>
  <c r="BH65" i="3"/>
  <c r="BG65" i="3"/>
  <c r="BF65" i="3"/>
  <c r="BE65" i="3"/>
  <c r="BD65" i="3"/>
  <c r="BC65" i="3"/>
  <c r="BA65" i="3"/>
  <c r="AZ65" i="3"/>
  <c r="AY65" i="3"/>
  <c r="AO65" i="3"/>
  <c r="AG65" i="3"/>
  <c r="S65" i="3"/>
  <c r="K65" i="3"/>
  <c r="DH64" i="3"/>
  <c r="DG64" i="3"/>
  <c r="DF64" i="3"/>
  <c r="DD64" i="3"/>
  <c r="DC64" i="3"/>
  <c r="DB64" i="3"/>
  <c r="CZ64" i="3"/>
  <c r="CY64" i="3"/>
  <c r="CX64" i="3"/>
  <c r="CW64" i="3"/>
  <c r="CV64" i="3"/>
  <c r="CU64" i="3"/>
  <c r="CT64" i="3"/>
  <c r="CS64" i="3"/>
  <c r="CR64" i="3"/>
  <c r="CQ64" i="3"/>
  <c r="CP64" i="3"/>
  <c r="CF64" i="3"/>
  <c r="DA64" i="3" s="1"/>
  <c r="BQ64" i="3"/>
  <c r="BP64" i="3"/>
  <c r="BO64" i="3"/>
  <c r="BM64" i="3"/>
  <c r="BL64" i="3"/>
  <c r="BK64" i="3"/>
  <c r="BI64" i="3"/>
  <c r="BH64" i="3"/>
  <c r="BG64" i="3"/>
  <c r="BF64" i="3"/>
  <c r="BE64" i="3"/>
  <c r="BD64" i="3"/>
  <c r="BC64" i="3"/>
  <c r="BB64" i="3"/>
  <c r="BA64" i="3"/>
  <c r="AZ64" i="3"/>
  <c r="AY64" i="3"/>
  <c r="AO64" i="3"/>
  <c r="AB64" i="3" s="1"/>
  <c r="AA64" i="3" s="1"/>
  <c r="AW64" i="3" s="1"/>
  <c r="G64" i="3"/>
  <c r="DG63" i="3"/>
  <c r="DF63" i="3"/>
  <c r="DD63" i="3"/>
  <c r="DC63" i="3"/>
  <c r="DB63" i="3"/>
  <c r="DA63" i="3"/>
  <c r="CZ63" i="3"/>
  <c r="CY63" i="3"/>
  <c r="CX63" i="3"/>
  <c r="CW63" i="3"/>
  <c r="CV63" i="3"/>
  <c r="CU63" i="3"/>
  <c r="CT63" i="3"/>
  <c r="CS63" i="3"/>
  <c r="CR63" i="3"/>
  <c r="CQ63" i="3"/>
  <c r="CP63" i="3"/>
  <c r="CM63" i="3"/>
  <c r="DH63" i="3" s="1"/>
  <c r="BP63" i="3"/>
  <c r="BM63" i="3"/>
  <c r="BL63" i="3"/>
  <c r="BK63" i="3"/>
  <c r="BJ63" i="3"/>
  <c r="BI63" i="3"/>
  <c r="BH63" i="3"/>
  <c r="BG63" i="3"/>
  <c r="BF63" i="3"/>
  <c r="BE63" i="3"/>
  <c r="BD63" i="3"/>
  <c r="BC63" i="3"/>
  <c r="BB63" i="3"/>
  <c r="BA63" i="3"/>
  <c r="AZ63" i="3"/>
  <c r="AY63" i="3"/>
  <c r="AV63" i="3"/>
  <c r="BQ63" i="3" s="1"/>
  <c r="AB63" i="3"/>
  <c r="G63" i="3"/>
  <c r="DG62" i="3"/>
  <c r="DF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CQ62" i="3"/>
  <c r="CP62" i="3"/>
  <c r="CM62" i="3"/>
  <c r="BS62" i="3" s="1"/>
  <c r="BP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Y62" i="3"/>
  <c r="AV62" i="3"/>
  <c r="AB62" i="3" s="1"/>
  <c r="Z62" i="3"/>
  <c r="DG61" i="3"/>
  <c r="DF61" i="3"/>
  <c r="DD61" i="3"/>
  <c r="DC61" i="3"/>
  <c r="DB61" i="3"/>
  <c r="DA61" i="3"/>
  <c r="CZ61" i="3"/>
  <c r="CY61" i="3"/>
  <c r="CX61" i="3"/>
  <c r="CW61" i="3"/>
  <c r="CV61" i="3"/>
  <c r="CU61" i="3"/>
  <c r="CS61" i="3"/>
  <c r="CR61" i="3"/>
  <c r="CQ61" i="3"/>
  <c r="CP61" i="3"/>
  <c r="CM61" i="3"/>
  <c r="DH61" i="3" s="1"/>
  <c r="BY61" i="3"/>
  <c r="BY141" i="3" s="1"/>
  <c r="BP61" i="3"/>
  <c r="BM61" i="3"/>
  <c r="BL61" i="3"/>
  <c r="BK61" i="3"/>
  <c r="BJ61" i="3"/>
  <c r="BI61" i="3"/>
  <c r="BH61" i="3"/>
  <c r="BG61" i="3"/>
  <c r="BF61" i="3"/>
  <c r="BE61" i="3"/>
  <c r="BD61" i="3"/>
  <c r="BB61" i="3"/>
  <c r="BA61" i="3"/>
  <c r="AZ61" i="3"/>
  <c r="AY61" i="3"/>
  <c r="AV61" i="3"/>
  <c r="BQ61" i="3" s="1"/>
  <c r="AH61" i="3"/>
  <c r="AH93" i="3" s="1"/>
  <c r="Z61" i="3"/>
  <c r="L61" i="3"/>
  <c r="CK60" i="3"/>
  <c r="CI60" i="3"/>
  <c r="CG60" i="3"/>
  <c r="CD60" i="3"/>
  <c r="CC60" i="3"/>
  <c r="CB60" i="3"/>
  <c r="CA60" i="3"/>
  <c r="BZ60" i="3"/>
  <c r="BX60" i="3"/>
  <c r="BW60" i="3"/>
  <c r="BU60" i="3"/>
  <c r="BT60" i="3"/>
  <c r="AT60" i="3"/>
  <c r="AR60" i="3"/>
  <c r="AP60" i="3"/>
  <c r="AM60" i="3"/>
  <c r="AL60" i="3"/>
  <c r="AK60" i="3"/>
  <c r="AJ60" i="3"/>
  <c r="AI60" i="3"/>
  <c r="AG60" i="3"/>
  <c r="AF60" i="3"/>
  <c r="AD60" i="3"/>
  <c r="X60" i="3"/>
  <c r="W60" i="3"/>
  <c r="V60" i="3"/>
  <c r="T60" i="3"/>
  <c r="S60" i="3"/>
  <c r="Q60" i="3"/>
  <c r="P60" i="3"/>
  <c r="O60" i="3"/>
  <c r="N60" i="3"/>
  <c r="M60" i="3"/>
  <c r="K60" i="3"/>
  <c r="J60" i="3"/>
  <c r="H60" i="3"/>
  <c r="DG59" i="3"/>
  <c r="DF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CQ59" i="3"/>
  <c r="CP59" i="3"/>
  <c r="CM59" i="3"/>
  <c r="BS59" i="3" s="1"/>
  <c r="BP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V59" i="3"/>
  <c r="AB59" i="3" s="1"/>
  <c r="Z59" i="3"/>
  <c r="DH58" i="3"/>
  <c r="DG58" i="3"/>
  <c r="DF58" i="3"/>
  <c r="DD58" i="3"/>
  <c r="DB58" i="3"/>
  <c r="DA58" i="3"/>
  <c r="CZ58" i="3"/>
  <c r="CY58" i="3"/>
  <c r="CX58" i="3"/>
  <c r="CW58" i="3"/>
  <c r="CV58" i="3"/>
  <c r="CU58" i="3"/>
  <c r="CS58" i="3"/>
  <c r="CR58" i="3"/>
  <c r="CP58" i="3"/>
  <c r="CH58" i="3"/>
  <c r="BY58" i="3"/>
  <c r="BY139" i="3" s="1"/>
  <c r="BV58" i="3"/>
  <c r="CQ58" i="3" s="1"/>
  <c r="BQ58" i="3"/>
  <c r="BP58" i="3"/>
  <c r="BM58" i="3"/>
  <c r="BK58" i="3"/>
  <c r="BJ58" i="3"/>
  <c r="BI58" i="3"/>
  <c r="BH58" i="3"/>
  <c r="BG58" i="3"/>
  <c r="BF58" i="3"/>
  <c r="BE58" i="3"/>
  <c r="BD58" i="3"/>
  <c r="BB58" i="3"/>
  <c r="BA58" i="3"/>
  <c r="AY58" i="3"/>
  <c r="AQ58" i="3"/>
  <c r="BL58" i="3" s="1"/>
  <c r="AH58" i="3"/>
  <c r="AH139" i="3" s="1"/>
  <c r="AE58" i="3"/>
  <c r="AZ58" i="3" s="1"/>
  <c r="L58" i="3"/>
  <c r="L139" i="3" s="1"/>
  <c r="G58" i="3"/>
  <c r="DH57" i="3"/>
  <c r="DG57" i="3"/>
  <c r="DF57" i="3"/>
  <c r="DD57" i="3"/>
  <c r="DC57" i="3"/>
  <c r="DB57" i="3"/>
  <c r="DA57" i="3"/>
  <c r="CZ57" i="3"/>
  <c r="CY57" i="3"/>
  <c r="CX57" i="3"/>
  <c r="CW57" i="3"/>
  <c r="CV57" i="3"/>
  <c r="CU57" i="3"/>
  <c r="CT57" i="3"/>
  <c r="CS57" i="3"/>
  <c r="CR57" i="3"/>
  <c r="CQ57" i="3"/>
  <c r="CP57" i="3"/>
  <c r="BS57" i="3"/>
  <c r="BR57" i="3" s="1"/>
  <c r="CN57" i="3" s="1"/>
  <c r="BQ57" i="3"/>
  <c r="BP57" i="3"/>
  <c r="BM57" i="3"/>
  <c r="BK57" i="3"/>
  <c r="BJ57" i="3"/>
  <c r="BI57" i="3"/>
  <c r="BH57" i="3"/>
  <c r="BG57" i="3"/>
  <c r="BF57" i="3"/>
  <c r="BE57" i="3"/>
  <c r="BD57" i="3"/>
  <c r="BC57" i="3"/>
  <c r="BB57" i="3"/>
  <c r="BA57" i="3"/>
  <c r="AZ57" i="3"/>
  <c r="AY57" i="3"/>
  <c r="AQ57" i="3"/>
  <c r="AB57" i="3" s="1"/>
  <c r="G57" i="3"/>
  <c r="DH56" i="3"/>
  <c r="DG56" i="3"/>
  <c r="DF56" i="3"/>
  <c r="DD56" i="3"/>
  <c r="DB56" i="3"/>
  <c r="DA56" i="3"/>
  <c r="CZ56" i="3"/>
  <c r="CY56" i="3"/>
  <c r="CX56" i="3"/>
  <c r="CW56" i="3"/>
  <c r="CV56" i="3"/>
  <c r="CU56" i="3"/>
  <c r="CT56" i="3"/>
  <c r="CS56" i="3"/>
  <c r="CR56" i="3"/>
  <c r="CP56" i="3"/>
  <c r="CH56" i="3"/>
  <c r="DC56" i="3" s="1"/>
  <c r="BV56" i="3"/>
  <c r="BQ56" i="3"/>
  <c r="BP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Y56" i="3"/>
  <c r="AE56" i="3"/>
  <c r="AB56" i="3"/>
  <c r="I56" i="3"/>
  <c r="DH55" i="3"/>
  <c r="DG55" i="3"/>
  <c r="DF55" i="3"/>
  <c r="DD55" i="3"/>
  <c r="DB55" i="3"/>
  <c r="DA55" i="3"/>
  <c r="CZ55" i="3"/>
  <c r="CY55" i="3"/>
  <c r="CX55" i="3"/>
  <c r="CW55" i="3"/>
  <c r="CV55" i="3"/>
  <c r="CU55" i="3"/>
  <c r="CT55" i="3"/>
  <c r="CS55" i="3"/>
  <c r="CR55" i="3"/>
  <c r="CQ55" i="3"/>
  <c r="CP55" i="3"/>
  <c r="CH55" i="3"/>
  <c r="BS55" i="3" s="1"/>
  <c r="BQ55" i="3"/>
  <c r="BP55" i="3"/>
  <c r="BM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Y55" i="3"/>
  <c r="AQ55" i="3"/>
  <c r="BL55" i="3" s="1"/>
  <c r="AB55" i="3"/>
  <c r="AA55" i="3" s="1"/>
  <c r="AW55" i="3" s="1"/>
  <c r="G55" i="3"/>
  <c r="DG54" i="3"/>
  <c r="DF54" i="3"/>
  <c r="DD54" i="3"/>
  <c r="DC54" i="3"/>
  <c r="DB54" i="3"/>
  <c r="DA54" i="3"/>
  <c r="CZ54" i="3"/>
  <c r="CY54" i="3"/>
  <c r="CX54" i="3"/>
  <c r="CW54" i="3"/>
  <c r="CV54" i="3"/>
  <c r="CU54" i="3"/>
  <c r="CT54" i="3"/>
  <c r="CS54" i="3"/>
  <c r="CR54" i="3"/>
  <c r="CP54" i="3"/>
  <c r="CM54" i="3"/>
  <c r="BV54" i="3"/>
  <c r="CQ54" i="3" s="1"/>
  <c r="BP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BA54" i="3"/>
  <c r="AY54" i="3"/>
  <c r="AV54" i="3"/>
  <c r="AB54" i="3" s="1"/>
  <c r="AE54" i="3"/>
  <c r="AZ54" i="3" s="1"/>
  <c r="Z54" i="3"/>
  <c r="G54" i="3" s="1"/>
  <c r="DG53" i="3"/>
  <c r="DF53" i="3"/>
  <c r="DD53" i="3"/>
  <c r="DC53" i="3"/>
  <c r="DB53" i="3"/>
  <c r="DA53" i="3"/>
  <c r="CZ53" i="3"/>
  <c r="CY53" i="3"/>
  <c r="CX53" i="3"/>
  <c r="CW53" i="3"/>
  <c r="CV53" i="3"/>
  <c r="CU53" i="3"/>
  <c r="CT53" i="3"/>
  <c r="CS53" i="3"/>
  <c r="CR53" i="3"/>
  <c r="CQ53" i="3"/>
  <c r="CP53" i="3"/>
  <c r="CM53" i="3"/>
  <c r="BS53" i="3" s="1"/>
  <c r="BP53" i="3"/>
  <c r="BM53" i="3"/>
  <c r="BL53" i="3"/>
  <c r="BJ53" i="3"/>
  <c r="BI53" i="3"/>
  <c r="BH53" i="3"/>
  <c r="BG53" i="3"/>
  <c r="BF53" i="3"/>
  <c r="BE53" i="3"/>
  <c r="BD53" i="3"/>
  <c r="BC53" i="3"/>
  <c r="BB53" i="3"/>
  <c r="BA53" i="3"/>
  <c r="AZ53" i="3"/>
  <c r="AY53" i="3"/>
  <c r="AV53" i="3"/>
  <c r="AB53" i="3" s="1"/>
  <c r="Z53" i="3"/>
  <c r="G53" i="3"/>
  <c r="DH52" i="3"/>
  <c r="DG52" i="3"/>
  <c r="DF52" i="3"/>
  <c r="DD52" i="3"/>
  <c r="DB52" i="3"/>
  <c r="DA52" i="3"/>
  <c r="CZ52" i="3"/>
  <c r="CY52" i="3"/>
  <c r="CX52" i="3"/>
  <c r="CW52" i="3"/>
  <c r="CV52" i="3"/>
  <c r="CU52" i="3"/>
  <c r="CT52" i="3"/>
  <c r="CS52" i="3"/>
  <c r="CR52" i="3"/>
  <c r="CP52" i="3"/>
  <c r="CH52" i="3"/>
  <c r="BV52" i="3"/>
  <c r="BS52" i="3" s="1"/>
  <c r="BQ52" i="3"/>
  <c r="BP52" i="3"/>
  <c r="BM52" i="3"/>
  <c r="BK52" i="3"/>
  <c r="BJ52" i="3"/>
  <c r="BI52" i="3"/>
  <c r="BH52" i="3"/>
  <c r="BG52" i="3"/>
  <c r="BF52" i="3"/>
  <c r="BE52" i="3"/>
  <c r="BD52" i="3"/>
  <c r="BC52" i="3"/>
  <c r="BB52" i="3"/>
  <c r="BA52" i="3"/>
  <c r="AY52" i="3"/>
  <c r="AQ52" i="3"/>
  <c r="AE52" i="3"/>
  <c r="U52" i="3"/>
  <c r="I52" i="3"/>
  <c r="DH51" i="3"/>
  <c r="DG51" i="3"/>
  <c r="DF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R51" i="3"/>
  <c r="CP51" i="3"/>
  <c r="BV51" i="3"/>
  <c r="CQ51" i="3" s="1"/>
  <c r="BQ51" i="3"/>
  <c r="BP51" i="3"/>
  <c r="BM51" i="3"/>
  <c r="BL51" i="3"/>
  <c r="BJ51" i="3"/>
  <c r="BI51" i="3"/>
  <c r="BH51" i="3"/>
  <c r="BG51" i="3"/>
  <c r="BF51" i="3"/>
  <c r="BE51" i="3"/>
  <c r="BD51" i="3"/>
  <c r="BC51" i="3"/>
  <c r="BB51" i="3"/>
  <c r="BA51" i="3"/>
  <c r="AY51" i="3"/>
  <c r="AE51" i="3"/>
  <c r="AB51" i="3" s="1"/>
  <c r="G51" i="3"/>
  <c r="DH50" i="3"/>
  <c r="DF50" i="3"/>
  <c r="DD50" i="3"/>
  <c r="DC50" i="3"/>
  <c r="DB50" i="3"/>
  <c r="DA50" i="3"/>
  <c r="CZ50" i="3"/>
  <c r="CY50" i="3"/>
  <c r="CX50" i="3"/>
  <c r="CW50" i="3"/>
  <c r="CV50" i="3"/>
  <c r="CU50" i="3"/>
  <c r="CT50" i="3"/>
  <c r="CS50" i="3"/>
  <c r="CR50" i="3"/>
  <c r="CP50" i="3"/>
  <c r="CL50" i="3"/>
  <c r="DG50" i="3" s="1"/>
  <c r="BV50" i="3"/>
  <c r="BS50" i="3" s="1"/>
  <c r="BQ50" i="3"/>
  <c r="BM50" i="3"/>
  <c r="BL50" i="3"/>
  <c r="BK50" i="3"/>
  <c r="BJ50" i="3"/>
  <c r="BI50" i="3"/>
  <c r="BH50" i="3"/>
  <c r="BG50" i="3"/>
  <c r="BF50" i="3"/>
  <c r="BE50" i="3"/>
  <c r="BD50" i="3"/>
  <c r="BC50" i="3"/>
  <c r="BB50" i="3"/>
  <c r="BA50" i="3"/>
  <c r="AY50" i="3"/>
  <c r="AU50" i="3"/>
  <c r="BP50" i="3" s="1"/>
  <c r="AE50" i="3"/>
  <c r="G50" i="3"/>
  <c r="DG49" i="3"/>
  <c r="DF49" i="3"/>
  <c r="DD49" i="3"/>
  <c r="DB49" i="3"/>
  <c r="DA49" i="3"/>
  <c r="CZ49" i="3"/>
  <c r="CY49" i="3"/>
  <c r="CX49" i="3"/>
  <c r="CW49" i="3"/>
  <c r="CV49" i="3"/>
  <c r="CU49" i="3"/>
  <c r="CT49" i="3"/>
  <c r="CS49" i="3"/>
  <c r="CR49" i="3"/>
  <c r="CQ49" i="3"/>
  <c r="CP49" i="3"/>
  <c r="CH49" i="3"/>
  <c r="BS49" i="3" s="1"/>
  <c r="BP49" i="3"/>
  <c r="BM49" i="3"/>
  <c r="BJ49" i="3"/>
  <c r="BI49" i="3"/>
  <c r="BH49" i="3"/>
  <c r="BG49" i="3"/>
  <c r="BF49" i="3"/>
  <c r="BE49" i="3"/>
  <c r="BD49" i="3"/>
  <c r="BC49" i="3"/>
  <c r="BB49" i="3"/>
  <c r="BA49" i="3"/>
  <c r="AZ49" i="3"/>
  <c r="AY49" i="3"/>
  <c r="AQ49" i="3"/>
  <c r="BL49" i="3" s="1"/>
  <c r="AB49" i="3"/>
  <c r="Z49" i="3"/>
  <c r="DH49" i="3" s="1"/>
  <c r="DH48" i="3"/>
  <c r="DG48" i="3"/>
  <c r="DF48" i="3"/>
  <c r="DD48" i="3"/>
  <c r="DB48" i="3"/>
  <c r="DA48" i="3"/>
  <c r="CZ48" i="3"/>
  <c r="CY48" i="3"/>
  <c r="CX48" i="3"/>
  <c r="CW48" i="3"/>
  <c r="CV48" i="3"/>
  <c r="CU48" i="3"/>
  <c r="CT48" i="3"/>
  <c r="CS48" i="3"/>
  <c r="CR48" i="3"/>
  <c r="CQ48" i="3"/>
  <c r="CP48" i="3"/>
  <c r="CH48" i="3"/>
  <c r="DC48" i="3" s="1"/>
  <c r="BQ48" i="3"/>
  <c r="BP48" i="3"/>
  <c r="BM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Q48" i="3"/>
  <c r="AB48" i="3" s="1"/>
  <c r="G48" i="3"/>
  <c r="DH47" i="3"/>
  <c r="DG47" i="3"/>
  <c r="DF47" i="3"/>
  <c r="DD47" i="3"/>
  <c r="DB47" i="3"/>
  <c r="DA47" i="3"/>
  <c r="CZ47" i="3"/>
  <c r="CY47" i="3"/>
  <c r="CX47" i="3"/>
  <c r="CW47" i="3"/>
  <c r="CV47" i="3"/>
  <c r="CU47" i="3"/>
  <c r="CT47" i="3"/>
  <c r="CS47" i="3"/>
  <c r="CR47" i="3"/>
  <c r="CQ47" i="3"/>
  <c r="CP47" i="3"/>
  <c r="CH47" i="3"/>
  <c r="DC47" i="3" s="1"/>
  <c r="BQ47" i="3"/>
  <c r="BP47" i="3"/>
  <c r="BM47" i="3"/>
  <c r="BK47" i="3"/>
  <c r="BJ47" i="3"/>
  <c r="BI47" i="3"/>
  <c r="BH47" i="3"/>
  <c r="BG47" i="3"/>
  <c r="BF47" i="3"/>
  <c r="BE47" i="3"/>
  <c r="BD47" i="3"/>
  <c r="BC47" i="3"/>
  <c r="BB47" i="3"/>
  <c r="BA47" i="3"/>
  <c r="AZ47" i="3"/>
  <c r="AY47" i="3"/>
  <c r="AQ47" i="3"/>
  <c r="BL47" i="3" s="1"/>
  <c r="G47" i="3"/>
  <c r="DH46" i="3"/>
  <c r="DG46" i="3"/>
  <c r="DF46" i="3"/>
  <c r="DD46" i="3"/>
  <c r="DB46" i="3"/>
  <c r="DA46" i="3"/>
  <c r="CZ46" i="3"/>
  <c r="CY46" i="3"/>
  <c r="CX46" i="3"/>
  <c r="CW46" i="3"/>
  <c r="CV46" i="3"/>
  <c r="CU46" i="3"/>
  <c r="CT46" i="3"/>
  <c r="CS46" i="3"/>
  <c r="CR46" i="3"/>
  <c r="CQ46" i="3"/>
  <c r="CP46" i="3"/>
  <c r="CH46" i="3"/>
  <c r="DC46" i="3" s="1"/>
  <c r="BQ46" i="3"/>
  <c r="BP46" i="3"/>
  <c r="BO46" i="3"/>
  <c r="BM46" i="3"/>
  <c r="BK46" i="3"/>
  <c r="BJ46" i="3"/>
  <c r="BI46" i="3"/>
  <c r="BH46" i="3"/>
  <c r="BG46" i="3"/>
  <c r="BF46" i="3"/>
  <c r="BE46" i="3"/>
  <c r="BD46" i="3"/>
  <c r="BC46" i="3"/>
  <c r="BB46" i="3"/>
  <c r="BA46" i="3"/>
  <c r="AZ46" i="3"/>
  <c r="AY46" i="3"/>
  <c r="AQ46" i="3"/>
  <c r="AB46" i="3" s="1"/>
  <c r="AA46" i="3" s="1"/>
  <c r="AW46" i="3" s="1"/>
  <c r="G46" i="3"/>
  <c r="DH45" i="3"/>
  <c r="DG45" i="3"/>
  <c r="DF45" i="3"/>
  <c r="DD45" i="3"/>
  <c r="DB45" i="3"/>
  <c r="DA45" i="3"/>
  <c r="CZ45" i="3"/>
  <c r="CY45" i="3"/>
  <c r="CX45" i="3"/>
  <c r="CW45" i="3"/>
  <c r="CV45" i="3"/>
  <c r="CU45" i="3"/>
  <c r="CT45" i="3"/>
  <c r="CS45" i="3"/>
  <c r="CR45" i="3"/>
  <c r="CQ45" i="3"/>
  <c r="CP45" i="3"/>
  <c r="CH45" i="3"/>
  <c r="BS45" i="3" s="1"/>
  <c r="BQ45" i="3"/>
  <c r="BP45" i="3"/>
  <c r="BM45" i="3"/>
  <c r="BJ45" i="3"/>
  <c r="BI45" i="3"/>
  <c r="BH45" i="3"/>
  <c r="BG45" i="3"/>
  <c r="BF45" i="3"/>
  <c r="BE45" i="3"/>
  <c r="BD45" i="3"/>
  <c r="BC45" i="3"/>
  <c r="BB45" i="3"/>
  <c r="BA45" i="3"/>
  <c r="AZ45" i="3"/>
  <c r="AY45" i="3"/>
  <c r="AQ45" i="3"/>
  <c r="AB45" i="3" s="1"/>
  <c r="U45" i="3"/>
  <c r="G45" i="3" s="1"/>
  <c r="DH44" i="3"/>
  <c r="DG44" i="3"/>
  <c r="DF44" i="3"/>
  <c r="DD44" i="3"/>
  <c r="DB44" i="3"/>
  <c r="DA44" i="3"/>
  <c r="CZ44" i="3"/>
  <c r="CY44" i="3"/>
  <c r="CX44" i="3"/>
  <c r="CW44" i="3"/>
  <c r="CV44" i="3"/>
  <c r="CU44" i="3"/>
  <c r="CT44" i="3"/>
  <c r="CS44" i="3"/>
  <c r="CR44" i="3"/>
  <c r="CQ44" i="3"/>
  <c r="CP44" i="3"/>
  <c r="CH44" i="3"/>
  <c r="BS44" i="3" s="1"/>
  <c r="BQ44" i="3"/>
  <c r="BP44" i="3"/>
  <c r="BO44" i="3"/>
  <c r="BM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Q44" i="3"/>
  <c r="AB44" i="3"/>
  <c r="U44" i="3"/>
  <c r="DH43" i="3"/>
  <c r="DG43" i="3"/>
  <c r="DF43" i="3"/>
  <c r="DD43" i="3"/>
  <c r="DC43" i="3"/>
  <c r="DB43" i="3"/>
  <c r="DA43" i="3"/>
  <c r="CY43" i="3"/>
  <c r="CX43" i="3"/>
  <c r="CW43" i="3"/>
  <c r="CV43" i="3"/>
  <c r="CU43" i="3"/>
  <c r="CT43" i="3"/>
  <c r="CS43" i="3"/>
  <c r="CR43" i="3"/>
  <c r="CQ43" i="3"/>
  <c r="CP43" i="3"/>
  <c r="CE43" i="3"/>
  <c r="BS43" i="3" s="1"/>
  <c r="BQ43" i="3"/>
  <c r="BP43" i="3"/>
  <c r="BO43" i="3"/>
  <c r="BM43" i="3"/>
  <c r="BL43" i="3"/>
  <c r="BK43" i="3"/>
  <c r="BJ43" i="3"/>
  <c r="BH43" i="3"/>
  <c r="BG43" i="3"/>
  <c r="BF43" i="3"/>
  <c r="BE43" i="3"/>
  <c r="BD43" i="3"/>
  <c r="BC43" i="3"/>
  <c r="BB43" i="3"/>
  <c r="BA43" i="3"/>
  <c r="AZ43" i="3"/>
  <c r="AY43" i="3"/>
  <c r="AN43" i="3"/>
  <c r="AB43" i="3"/>
  <c r="R43" i="3"/>
  <c r="DG42" i="3"/>
  <c r="DF42" i="3"/>
  <c r="DD42" i="3"/>
  <c r="DC42" i="3"/>
  <c r="DB42" i="3"/>
  <c r="DA42" i="3"/>
  <c r="CZ42" i="3"/>
  <c r="CY42" i="3"/>
  <c r="CX42" i="3"/>
  <c r="CW42" i="3"/>
  <c r="CV42" i="3"/>
  <c r="CU42" i="3"/>
  <c r="CT42" i="3"/>
  <c r="CS42" i="3"/>
  <c r="CR42" i="3"/>
  <c r="CQ42" i="3"/>
  <c r="CP42" i="3"/>
  <c r="BS42" i="3"/>
  <c r="BQ42" i="3"/>
  <c r="BP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Z42" i="3"/>
  <c r="AY42" i="3"/>
  <c r="AB42" i="3"/>
  <c r="Z42" i="3"/>
  <c r="DH42" i="3" s="1"/>
  <c r="G42" i="3"/>
  <c r="BR42" i="3" s="1"/>
  <c r="CN42" i="3" s="1"/>
  <c r="DH41" i="3"/>
  <c r="DF41" i="3"/>
  <c r="DD41" i="3"/>
  <c r="DC41" i="3"/>
  <c r="DB41" i="3"/>
  <c r="CZ41" i="3"/>
  <c r="CY41" i="3"/>
  <c r="CX41" i="3"/>
  <c r="CW41" i="3"/>
  <c r="CV41" i="3"/>
  <c r="CU41" i="3"/>
  <c r="CT41" i="3"/>
  <c r="CS41" i="3"/>
  <c r="CR41" i="3"/>
  <c r="CQ41" i="3"/>
  <c r="CP41" i="3"/>
  <c r="CL41" i="3"/>
  <c r="CL60" i="3" s="1"/>
  <c r="CF41" i="3"/>
  <c r="BQ41" i="3"/>
  <c r="BM41" i="3"/>
  <c r="BL41" i="3"/>
  <c r="BK41" i="3"/>
  <c r="BI41" i="3"/>
  <c r="BH41" i="3"/>
  <c r="BG41" i="3"/>
  <c r="BF41" i="3"/>
  <c r="BE41" i="3"/>
  <c r="BD41" i="3"/>
  <c r="BC41" i="3"/>
  <c r="BB41" i="3"/>
  <c r="BA41" i="3"/>
  <c r="AZ41" i="3"/>
  <c r="AY41" i="3"/>
  <c r="AU41" i="3"/>
  <c r="BP41" i="3" s="1"/>
  <c r="AO41" i="3"/>
  <c r="BJ41" i="3" s="1"/>
  <c r="Y41" i="3"/>
  <c r="Y139" i="3" s="1"/>
  <c r="G41" i="3"/>
  <c r="DG40" i="3"/>
  <c r="DF40" i="3"/>
  <c r="DD40" i="3"/>
  <c r="DC40" i="3"/>
  <c r="DB40" i="3"/>
  <c r="CZ40" i="3"/>
  <c r="CY40" i="3"/>
  <c r="CX40" i="3"/>
  <c r="CW40" i="3"/>
  <c r="CV40" i="3"/>
  <c r="CU40" i="3"/>
  <c r="CT40" i="3"/>
  <c r="CS40" i="3"/>
  <c r="CR40" i="3"/>
  <c r="CQ40" i="3"/>
  <c r="CP40" i="3"/>
  <c r="CM40" i="3"/>
  <c r="DH40" i="3" s="1"/>
  <c r="CH40" i="3"/>
  <c r="CF40" i="3"/>
  <c r="DA40" i="3" s="1"/>
  <c r="BP40" i="3"/>
  <c r="BM40" i="3"/>
  <c r="BK40" i="3"/>
  <c r="BI40" i="3"/>
  <c r="BH40" i="3"/>
  <c r="BG40" i="3"/>
  <c r="BF40" i="3"/>
  <c r="BE40" i="3"/>
  <c r="BD40" i="3"/>
  <c r="BC40" i="3"/>
  <c r="BB40" i="3"/>
  <c r="BA40" i="3"/>
  <c r="AZ40" i="3"/>
  <c r="AY40" i="3"/>
  <c r="AV40" i="3"/>
  <c r="AQ40" i="3"/>
  <c r="BL40" i="3" s="1"/>
  <c r="AO40" i="3"/>
  <c r="Z40" i="3"/>
  <c r="G40" i="3"/>
  <c r="DH39" i="3"/>
  <c r="DG39" i="3"/>
  <c r="DF39" i="3"/>
  <c r="DD39" i="3"/>
  <c r="DC39" i="3"/>
  <c r="DB39" i="3"/>
  <c r="CZ39" i="3"/>
  <c r="CY39" i="3"/>
  <c r="CX39" i="3"/>
  <c r="CW39" i="3"/>
  <c r="CV39" i="3"/>
  <c r="CU39" i="3"/>
  <c r="CT39" i="3"/>
  <c r="CS39" i="3"/>
  <c r="CR39" i="3"/>
  <c r="CQ39" i="3"/>
  <c r="CP39" i="3"/>
  <c r="CF39" i="3"/>
  <c r="BQ39" i="3"/>
  <c r="BP39" i="3"/>
  <c r="BM39" i="3"/>
  <c r="BL39" i="3"/>
  <c r="BK39" i="3"/>
  <c r="BI39" i="3"/>
  <c r="BH39" i="3"/>
  <c r="BG39" i="3"/>
  <c r="BF39" i="3"/>
  <c r="BE39" i="3"/>
  <c r="BD39" i="3"/>
  <c r="BC39" i="3"/>
  <c r="BB39" i="3"/>
  <c r="BA39" i="3"/>
  <c r="AZ39" i="3"/>
  <c r="AY39" i="3"/>
  <c r="AO39" i="3"/>
  <c r="BJ39" i="3" s="1"/>
  <c r="G39" i="3"/>
  <c r="DH38" i="3"/>
  <c r="DG38" i="3"/>
  <c r="DF38" i="3"/>
  <c r="DD38" i="3"/>
  <c r="DB38" i="3"/>
  <c r="DA38" i="3"/>
  <c r="CZ38" i="3"/>
  <c r="CY38" i="3"/>
  <c r="CX38" i="3"/>
  <c r="CW38" i="3"/>
  <c r="CV38" i="3"/>
  <c r="CU38" i="3"/>
  <c r="CT38" i="3"/>
  <c r="CS38" i="3"/>
  <c r="CR38" i="3"/>
  <c r="CQ38" i="3"/>
  <c r="CP38" i="3"/>
  <c r="CH38" i="3"/>
  <c r="BS38" i="3" s="1"/>
  <c r="BQ38" i="3"/>
  <c r="BP38" i="3"/>
  <c r="BO38" i="3"/>
  <c r="BM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Y38" i="3"/>
  <c r="AQ38" i="3"/>
  <c r="G38" i="3"/>
  <c r="DH37" i="3"/>
  <c r="DG37" i="3"/>
  <c r="DF37" i="3"/>
  <c r="DD37" i="3"/>
  <c r="DB37" i="3"/>
  <c r="DA37" i="3"/>
  <c r="CZ37" i="3"/>
  <c r="CY37" i="3"/>
  <c r="CX37" i="3"/>
  <c r="CW37" i="3"/>
  <c r="CV37" i="3"/>
  <c r="CU37" i="3"/>
  <c r="CT37" i="3"/>
  <c r="CS37" i="3"/>
  <c r="CR37" i="3"/>
  <c r="CQ37" i="3"/>
  <c r="CP37" i="3"/>
  <c r="CH37" i="3"/>
  <c r="BS37" i="3" s="1"/>
  <c r="BQ37" i="3"/>
  <c r="BM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Y37" i="3"/>
  <c r="AQ37" i="3"/>
  <c r="AB37" i="3" s="1"/>
  <c r="U37" i="3"/>
  <c r="DG36" i="3"/>
  <c r="DF36" i="3"/>
  <c r="DD36" i="3"/>
  <c r="DB36" i="3"/>
  <c r="DA36" i="3"/>
  <c r="CZ36" i="3"/>
  <c r="CY36" i="3"/>
  <c r="CX36" i="3"/>
  <c r="CW36" i="3"/>
  <c r="CV36" i="3"/>
  <c r="CU36" i="3"/>
  <c r="CT36" i="3"/>
  <c r="CS36" i="3"/>
  <c r="CR36" i="3"/>
  <c r="CQ36" i="3"/>
  <c r="CP36" i="3"/>
  <c r="CM36" i="3"/>
  <c r="BS36" i="3" s="1"/>
  <c r="CH36" i="3"/>
  <c r="DC36" i="3" s="1"/>
  <c r="BM36" i="3"/>
  <c r="BK36" i="3"/>
  <c r="BJ36" i="3"/>
  <c r="BI36" i="3"/>
  <c r="BH36" i="3"/>
  <c r="BG36" i="3"/>
  <c r="BF36" i="3"/>
  <c r="BE36" i="3"/>
  <c r="BD36" i="3"/>
  <c r="BC36" i="3"/>
  <c r="BB36" i="3"/>
  <c r="BA36" i="3"/>
  <c r="AZ36" i="3"/>
  <c r="AY36" i="3"/>
  <c r="AV36" i="3"/>
  <c r="AQ36" i="3"/>
  <c r="BL36" i="3" s="1"/>
  <c r="G36" i="3"/>
  <c r="DH35" i="3"/>
  <c r="DG35" i="3"/>
  <c r="DF35" i="3"/>
  <c r="DD35" i="3"/>
  <c r="DB35" i="3"/>
  <c r="DA35" i="3"/>
  <c r="CZ35" i="3"/>
  <c r="CY35" i="3"/>
  <c r="CX35" i="3"/>
  <c r="CW35" i="3"/>
  <c r="CV35" i="3"/>
  <c r="CU35" i="3"/>
  <c r="CT35" i="3"/>
  <c r="CS35" i="3"/>
  <c r="CR35" i="3"/>
  <c r="CQ35" i="3"/>
  <c r="CP35" i="3"/>
  <c r="CH35" i="3"/>
  <c r="DC35" i="3" s="1"/>
  <c r="BS35" i="3"/>
  <c r="BR35" i="3" s="1"/>
  <c r="CN35" i="3" s="1"/>
  <c r="BQ35" i="3"/>
  <c r="BM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Y35" i="3"/>
  <c r="AQ35" i="3"/>
  <c r="BL35" i="3" s="1"/>
  <c r="G35" i="3"/>
  <c r="DH34" i="3"/>
  <c r="DG34" i="3"/>
  <c r="DF34" i="3"/>
  <c r="DE34" i="3"/>
  <c r="DD34" i="3"/>
  <c r="DB34" i="3"/>
  <c r="DA34" i="3"/>
  <c r="CZ34" i="3"/>
  <c r="CY34" i="3"/>
  <c r="CX34" i="3"/>
  <c r="CW34" i="3"/>
  <c r="CV34" i="3"/>
  <c r="CU34" i="3"/>
  <c r="CT34" i="3"/>
  <c r="CS34" i="3"/>
  <c r="CR34" i="3"/>
  <c r="CQ34" i="3"/>
  <c r="CP34" i="3"/>
  <c r="CJ34" i="3"/>
  <c r="CJ139" i="3" s="1"/>
  <c r="CH34" i="3"/>
  <c r="BS34" i="3" s="1"/>
  <c r="BR34" i="3" s="1"/>
  <c r="CN34" i="3" s="1"/>
  <c r="BQ34" i="3"/>
  <c r="BM34" i="3"/>
  <c r="BJ34" i="3"/>
  <c r="BI34" i="3"/>
  <c r="BH34" i="3"/>
  <c r="BG34" i="3"/>
  <c r="BF34" i="3"/>
  <c r="BE34" i="3"/>
  <c r="BD34" i="3"/>
  <c r="BC34" i="3"/>
  <c r="BB34" i="3"/>
  <c r="BA34" i="3"/>
  <c r="AZ34" i="3"/>
  <c r="AY34" i="3"/>
  <c r="AS34" i="3"/>
  <c r="AB34" i="3" s="1"/>
  <c r="AA34" i="3" s="1"/>
  <c r="AW34" i="3" s="1"/>
  <c r="AQ34" i="3"/>
  <c r="BL34" i="3" s="1"/>
  <c r="W34" i="3"/>
  <c r="W139" i="3" s="1"/>
  <c r="W143" i="3" s="1"/>
  <c r="W145" i="3" s="1"/>
  <c r="G34" i="3"/>
  <c r="DG33" i="3"/>
  <c r="DF33" i="3"/>
  <c r="DD33" i="3"/>
  <c r="DC33" i="3"/>
  <c r="DB33" i="3"/>
  <c r="DA33" i="3"/>
  <c r="CZ33" i="3"/>
  <c r="CY33" i="3"/>
  <c r="CX33" i="3"/>
  <c r="CW33" i="3"/>
  <c r="CV33" i="3"/>
  <c r="CU33" i="3"/>
  <c r="CT33" i="3"/>
  <c r="CS33" i="3"/>
  <c r="CR33" i="3"/>
  <c r="CQ33" i="3"/>
  <c r="CP33" i="3"/>
  <c r="CM33" i="3"/>
  <c r="BS33" i="3" s="1"/>
  <c r="BM33" i="3"/>
  <c r="BL33" i="3"/>
  <c r="BJ33" i="3"/>
  <c r="BI33" i="3"/>
  <c r="BH33" i="3"/>
  <c r="BG33" i="3"/>
  <c r="BF33" i="3"/>
  <c r="BE33" i="3"/>
  <c r="BD33" i="3"/>
  <c r="BC33" i="3"/>
  <c r="BB33" i="3"/>
  <c r="BA33" i="3"/>
  <c r="AZ33" i="3"/>
  <c r="AY33" i="3"/>
  <c r="AV33" i="3"/>
  <c r="AB33" i="3" s="1"/>
  <c r="Z33" i="3"/>
  <c r="G33" i="3"/>
  <c r="DG32" i="3"/>
  <c r="DF32" i="3"/>
  <c r="DD32" i="3"/>
  <c r="DC32" i="3"/>
  <c r="DB32" i="3"/>
  <c r="DA32" i="3"/>
  <c r="CZ32" i="3"/>
  <c r="CY32" i="3"/>
  <c r="CX32" i="3"/>
  <c r="CW32" i="3"/>
  <c r="CV32" i="3"/>
  <c r="CU32" i="3"/>
  <c r="CT32" i="3"/>
  <c r="CS32" i="3"/>
  <c r="CR32" i="3"/>
  <c r="CQ32" i="3"/>
  <c r="CP32" i="3"/>
  <c r="CM32" i="3"/>
  <c r="BS32" i="3" s="1"/>
  <c r="BM32" i="3"/>
  <c r="BL32" i="3"/>
  <c r="BJ32" i="3"/>
  <c r="BI32" i="3"/>
  <c r="BH32" i="3"/>
  <c r="BG32" i="3"/>
  <c r="BF32" i="3"/>
  <c r="BE32" i="3"/>
  <c r="BD32" i="3"/>
  <c r="BC32" i="3"/>
  <c r="BB32" i="3"/>
  <c r="BA32" i="3"/>
  <c r="AZ32" i="3"/>
  <c r="AY32" i="3"/>
  <c r="AV32" i="3"/>
  <c r="AB32" i="3" s="1"/>
  <c r="Z32" i="3"/>
  <c r="G32" i="3"/>
  <c r="DH31" i="3"/>
  <c r="DG31" i="3"/>
  <c r="DF31" i="3"/>
  <c r="DD31" i="3"/>
  <c r="DB31" i="3"/>
  <c r="DA31" i="3"/>
  <c r="CZ31" i="3"/>
  <c r="CY31" i="3"/>
  <c r="CX31" i="3"/>
  <c r="CW31" i="3"/>
  <c r="CV31" i="3"/>
  <c r="CU31" i="3"/>
  <c r="CT31" i="3"/>
  <c r="CS31" i="3"/>
  <c r="CR31" i="3"/>
  <c r="CQ31" i="3"/>
  <c r="CP31" i="3"/>
  <c r="CH31" i="3"/>
  <c r="BS31" i="3" s="1"/>
  <c r="BQ31" i="3"/>
  <c r="BM31" i="3"/>
  <c r="BK31" i="3"/>
  <c r="BJ31" i="3"/>
  <c r="BI31" i="3"/>
  <c r="BH31" i="3"/>
  <c r="BG31" i="3"/>
  <c r="BF31" i="3"/>
  <c r="BE31" i="3"/>
  <c r="BD31" i="3"/>
  <c r="BC31" i="3"/>
  <c r="BB31" i="3"/>
  <c r="BA31" i="3"/>
  <c r="AZ31" i="3"/>
  <c r="AY31" i="3"/>
  <c r="AQ31" i="3"/>
  <c r="U31" i="3"/>
  <c r="DH30" i="3"/>
  <c r="DG30" i="3"/>
  <c r="DF30" i="3"/>
  <c r="DD30" i="3"/>
  <c r="DB30" i="3"/>
  <c r="DA30" i="3"/>
  <c r="CY30" i="3"/>
  <c r="CX30" i="3"/>
  <c r="CW30" i="3"/>
  <c r="CV30" i="3"/>
  <c r="CU30" i="3"/>
  <c r="CT30" i="3"/>
  <c r="CS30" i="3"/>
  <c r="CR30" i="3"/>
  <c r="CQ30" i="3"/>
  <c r="CP30" i="3"/>
  <c r="CH30" i="3"/>
  <c r="DC30" i="3" s="1"/>
  <c r="CE30" i="3"/>
  <c r="BQ30" i="3"/>
  <c r="BM30" i="3"/>
  <c r="BK30" i="3"/>
  <c r="BJ30" i="3"/>
  <c r="BH30" i="3"/>
  <c r="BG30" i="3"/>
  <c r="BF30" i="3"/>
  <c r="BE30" i="3"/>
  <c r="BD30" i="3"/>
  <c r="BC30" i="3"/>
  <c r="BB30" i="3"/>
  <c r="BA30" i="3"/>
  <c r="AZ30" i="3"/>
  <c r="AY30" i="3"/>
  <c r="AQ30" i="3"/>
  <c r="BL30" i="3" s="1"/>
  <c r="AN30" i="3"/>
  <c r="BI30" i="3" s="1"/>
  <c r="G30" i="3"/>
  <c r="DH29" i="3"/>
  <c r="DG29" i="3"/>
  <c r="DF29" i="3"/>
  <c r="DD29" i="3"/>
  <c r="DB29" i="3"/>
  <c r="DA29" i="3"/>
  <c r="CZ29" i="3"/>
  <c r="CY29" i="3"/>
  <c r="CX29" i="3"/>
  <c r="CW29" i="3"/>
  <c r="CV29" i="3"/>
  <c r="CU29" i="3"/>
  <c r="CT29" i="3"/>
  <c r="CS29" i="3"/>
  <c r="CR29" i="3"/>
  <c r="CQ29" i="3"/>
  <c r="CP29" i="3"/>
  <c r="CH29" i="3"/>
  <c r="BS29" i="3"/>
  <c r="BQ29" i="3"/>
  <c r="BM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Y29" i="3"/>
  <c r="AQ29" i="3"/>
  <c r="AB29" i="3" s="1"/>
  <c r="U29" i="3"/>
  <c r="DH28" i="3"/>
  <c r="DG28" i="3"/>
  <c r="DF28" i="3"/>
  <c r="DD28" i="3"/>
  <c r="DB28" i="3"/>
  <c r="DA28" i="3"/>
  <c r="CZ28" i="3"/>
  <c r="CY28" i="3"/>
  <c r="CX28" i="3"/>
  <c r="CW28" i="3"/>
  <c r="CV28" i="3"/>
  <c r="CU28" i="3"/>
  <c r="CT28" i="3"/>
  <c r="CS28" i="3"/>
  <c r="CR28" i="3"/>
  <c r="CQ28" i="3"/>
  <c r="CP28" i="3"/>
  <c r="BS28" i="3"/>
  <c r="BQ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Y28" i="3"/>
  <c r="AB28" i="3"/>
  <c r="U28" i="3"/>
  <c r="DC28" i="3" s="1"/>
  <c r="G28" i="3"/>
  <c r="DH27" i="3"/>
  <c r="DG27" i="3"/>
  <c r="DF27" i="3"/>
  <c r="DD27" i="3"/>
  <c r="DB27" i="3"/>
  <c r="DA27" i="3"/>
  <c r="CZ27" i="3"/>
  <c r="CY27" i="3"/>
  <c r="CX27" i="3"/>
  <c r="CW27" i="3"/>
  <c r="CV27" i="3"/>
  <c r="CU27" i="3"/>
  <c r="CT27" i="3"/>
  <c r="CS27" i="3"/>
  <c r="CR27" i="3"/>
  <c r="CQ27" i="3"/>
  <c r="CP27" i="3"/>
  <c r="CH27" i="3"/>
  <c r="BS27" i="3" s="1"/>
  <c r="BQ27" i="3"/>
  <c r="BM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Y27" i="3"/>
  <c r="AQ27" i="3"/>
  <c r="AB27" i="3" s="1"/>
  <c r="U27" i="3"/>
  <c r="DH26" i="3"/>
  <c r="DG26" i="3"/>
  <c r="DF26" i="3"/>
  <c r="DD26" i="3"/>
  <c r="DB26" i="3"/>
  <c r="DA26" i="3"/>
  <c r="CZ26" i="3"/>
  <c r="CY26" i="3"/>
  <c r="CX26" i="3"/>
  <c r="CW26" i="3"/>
  <c r="CV26" i="3"/>
  <c r="CU26" i="3"/>
  <c r="CT26" i="3"/>
  <c r="CS26" i="3"/>
  <c r="CR26" i="3"/>
  <c r="CQ26" i="3"/>
  <c r="CP26" i="3"/>
  <c r="CH26" i="3"/>
  <c r="BS26" i="3" s="1"/>
  <c r="BR26" i="3" s="1"/>
  <c r="CN26" i="3" s="1"/>
  <c r="BQ26" i="3"/>
  <c r="BM26" i="3"/>
  <c r="BK26" i="3"/>
  <c r="BJ26" i="3"/>
  <c r="BI26" i="3"/>
  <c r="BH26" i="3"/>
  <c r="BG26" i="3"/>
  <c r="BF26" i="3"/>
  <c r="BE26" i="3"/>
  <c r="BD26" i="3"/>
  <c r="BC26" i="3"/>
  <c r="BB26" i="3"/>
  <c r="BA26" i="3"/>
  <c r="AZ26" i="3"/>
  <c r="AY26" i="3"/>
  <c r="AQ26" i="3"/>
  <c r="AB26" i="3"/>
  <c r="G26" i="3"/>
  <c r="BV25" i="3"/>
  <c r="BS25" i="3" s="1"/>
  <c r="AE25" i="3"/>
  <c r="AB25" i="3" s="1"/>
  <c r="I25" i="3"/>
  <c r="G25" i="3" s="1"/>
  <c r="BV24" i="3"/>
  <c r="BS24" i="3" s="1"/>
  <c r="AE24" i="3"/>
  <c r="AZ24" i="3" s="1"/>
  <c r="AX24" i="3" s="1"/>
  <c r="G24" i="3"/>
  <c r="DG23" i="3"/>
  <c r="DF23" i="3"/>
  <c r="DD23" i="3"/>
  <c r="DC23" i="3"/>
  <c r="DB23" i="3"/>
  <c r="DA23" i="3"/>
  <c r="CZ23" i="3"/>
  <c r="CY23" i="3"/>
  <c r="CX23" i="3"/>
  <c r="CW23" i="3"/>
  <c r="CV23" i="3"/>
  <c r="CU23" i="3"/>
  <c r="CT23" i="3"/>
  <c r="CS23" i="3"/>
  <c r="CR23" i="3"/>
  <c r="CP23" i="3"/>
  <c r="CM23" i="3"/>
  <c r="BV23" i="3"/>
  <c r="BM23" i="3"/>
  <c r="BL23" i="3"/>
  <c r="BK23" i="3"/>
  <c r="BJ23" i="3"/>
  <c r="BI23" i="3"/>
  <c r="BH23" i="3"/>
  <c r="BG23" i="3"/>
  <c r="BF23" i="3"/>
  <c r="BE23" i="3"/>
  <c r="BD23" i="3"/>
  <c r="BC23" i="3"/>
  <c r="BB23" i="3"/>
  <c r="BA23" i="3"/>
  <c r="AY23" i="3"/>
  <c r="AV23" i="3"/>
  <c r="AE23" i="3"/>
  <c r="AB23" i="3" s="1"/>
  <c r="I23" i="3"/>
  <c r="AZ23" i="3" s="1"/>
  <c r="DH22" i="3"/>
  <c r="DG22" i="3"/>
  <c r="DF22" i="3"/>
  <c r="DD22" i="3"/>
  <c r="DC22" i="3"/>
  <c r="DB22" i="3"/>
  <c r="DA22" i="3"/>
  <c r="CZ22" i="3"/>
  <c r="CY22" i="3"/>
  <c r="CX22" i="3"/>
  <c r="CW22" i="3"/>
  <c r="CV22" i="3"/>
  <c r="CU22" i="3"/>
  <c r="CT22" i="3"/>
  <c r="CS22" i="3"/>
  <c r="CR22" i="3"/>
  <c r="CP22" i="3"/>
  <c r="BV22" i="3"/>
  <c r="CQ22" i="3" s="1"/>
  <c r="BQ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Y22" i="3"/>
  <c r="AE22" i="3"/>
  <c r="AZ22" i="3" s="1"/>
  <c r="G22" i="3"/>
  <c r="DH21" i="3"/>
  <c r="DG21" i="3"/>
  <c r="DF21" i="3"/>
  <c r="DD21" i="3"/>
  <c r="DC21" i="3"/>
  <c r="DB21" i="3"/>
  <c r="DA21" i="3"/>
  <c r="CZ21" i="3"/>
  <c r="CY21" i="3"/>
  <c r="CX21" i="3"/>
  <c r="CW21" i="3"/>
  <c r="CV21" i="3"/>
  <c r="CU21" i="3"/>
  <c r="CT21" i="3"/>
  <c r="CS21" i="3"/>
  <c r="CR21" i="3"/>
  <c r="CP21" i="3"/>
  <c r="BV21" i="3"/>
  <c r="BS21" i="3" s="1"/>
  <c r="BQ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BA21" i="3"/>
  <c r="AY21" i="3"/>
  <c r="AE21" i="3"/>
  <c r="AZ21" i="3" s="1"/>
  <c r="G21" i="3"/>
  <c r="DE20" i="3"/>
  <c r="CL20" i="3"/>
  <c r="CK20" i="3"/>
  <c r="CI20" i="3"/>
  <c r="CH20" i="3"/>
  <c r="CE20" i="3"/>
  <c r="CD20" i="3"/>
  <c r="CC20" i="3"/>
  <c r="CB20" i="3"/>
  <c r="CA20" i="3"/>
  <c r="BZ20" i="3"/>
  <c r="BW20" i="3"/>
  <c r="BU20" i="3"/>
  <c r="BT20" i="3"/>
  <c r="AU20" i="3"/>
  <c r="AT20" i="3"/>
  <c r="AS20" i="3"/>
  <c r="AR20" i="3"/>
  <c r="AQ20" i="3"/>
  <c r="AN20" i="3"/>
  <c r="AM20" i="3"/>
  <c r="AL20" i="3"/>
  <c r="AK20" i="3"/>
  <c r="AJ20" i="3"/>
  <c r="AI20" i="3"/>
  <c r="AF20" i="3"/>
  <c r="AD20" i="3"/>
  <c r="Y20" i="3"/>
  <c r="X20" i="3"/>
  <c r="V20" i="3"/>
  <c r="U20" i="3"/>
  <c r="T20" i="3"/>
  <c r="S20" i="3"/>
  <c r="R20" i="3"/>
  <c r="Q20" i="3"/>
  <c r="P20" i="3"/>
  <c r="O20" i="3"/>
  <c r="N20" i="3"/>
  <c r="M20" i="3"/>
  <c r="L20" i="3"/>
  <c r="J20" i="3"/>
  <c r="H20" i="3"/>
  <c r="DG19" i="3"/>
  <c r="DF19" i="3"/>
  <c r="DD19" i="3"/>
  <c r="DC19" i="3"/>
  <c r="DB19" i="3"/>
  <c r="DA19" i="3"/>
  <c r="CZ19" i="3"/>
  <c r="CY19" i="3"/>
  <c r="CX19" i="3"/>
  <c r="CW19" i="3"/>
  <c r="CV19" i="3"/>
  <c r="CU19" i="3"/>
  <c r="CT19" i="3"/>
  <c r="CR19" i="3"/>
  <c r="CQ19" i="3"/>
  <c r="CP19" i="3"/>
  <c r="CM19" i="3"/>
  <c r="BX19" i="3"/>
  <c r="BP19" i="3"/>
  <c r="BM19" i="3"/>
  <c r="BL19" i="3"/>
  <c r="BK19" i="3"/>
  <c r="BJ19" i="3"/>
  <c r="BI19" i="3"/>
  <c r="BH19" i="3"/>
  <c r="BG19" i="3"/>
  <c r="BF19" i="3"/>
  <c r="BE19" i="3"/>
  <c r="BD19" i="3"/>
  <c r="BC19" i="3"/>
  <c r="BA19" i="3"/>
  <c r="AZ19" i="3"/>
  <c r="AY19" i="3"/>
  <c r="AV19" i="3"/>
  <c r="AG19" i="3"/>
  <c r="Z19" i="3"/>
  <c r="K19" i="3"/>
  <c r="G19" i="3" s="1"/>
  <c r="DH18" i="3"/>
  <c r="DG18" i="3"/>
  <c r="DF18" i="3"/>
  <c r="DD18" i="3"/>
  <c r="DC18" i="3"/>
  <c r="DB18" i="3"/>
  <c r="DA18" i="3"/>
  <c r="CZ18" i="3"/>
  <c r="CY18" i="3"/>
  <c r="CX18" i="3"/>
  <c r="CW18" i="3"/>
  <c r="CV18" i="3"/>
  <c r="CU18" i="3"/>
  <c r="CT18" i="3"/>
  <c r="CR18" i="3"/>
  <c r="CQ18" i="3"/>
  <c r="CP18" i="3"/>
  <c r="BX18" i="3"/>
  <c r="BS18" i="3" s="1"/>
  <c r="BQ18" i="3"/>
  <c r="BP18" i="3"/>
  <c r="BM18" i="3"/>
  <c r="BL18" i="3"/>
  <c r="BK18" i="3"/>
  <c r="BJ18" i="3"/>
  <c r="BI18" i="3"/>
  <c r="BH18" i="3"/>
  <c r="BG18" i="3"/>
  <c r="BF18" i="3"/>
  <c r="BE18" i="3"/>
  <c r="BD18" i="3"/>
  <c r="BC18" i="3"/>
  <c r="BA18" i="3"/>
  <c r="AZ18" i="3"/>
  <c r="AY18" i="3"/>
  <c r="AG18" i="3"/>
  <c r="BB18" i="3" s="1"/>
  <c r="K18" i="3"/>
  <c r="DH17" i="3"/>
  <c r="DG17" i="3"/>
  <c r="DF17" i="3"/>
  <c r="DD17" i="3"/>
  <c r="DC17" i="3"/>
  <c r="DB17" i="3"/>
  <c r="DA17" i="3"/>
  <c r="CZ17" i="3"/>
  <c r="CY17" i="3"/>
  <c r="CX17" i="3"/>
  <c r="CW17" i="3"/>
  <c r="CV17" i="3"/>
  <c r="CU17" i="3"/>
  <c r="CT17" i="3"/>
  <c r="CR17" i="3"/>
  <c r="CQ17" i="3"/>
  <c r="CP17" i="3"/>
  <c r="BX17" i="3"/>
  <c r="BS17" i="3" s="1"/>
  <c r="BQ17" i="3"/>
  <c r="BP17" i="3"/>
  <c r="BO17" i="3"/>
  <c r="BM17" i="3"/>
  <c r="BL17" i="3"/>
  <c r="BK17" i="3"/>
  <c r="BJ17" i="3"/>
  <c r="BI17" i="3"/>
  <c r="BH17" i="3"/>
  <c r="BG17" i="3"/>
  <c r="BF17" i="3"/>
  <c r="BE17" i="3"/>
  <c r="BD17" i="3"/>
  <c r="BC17" i="3"/>
  <c r="BA17" i="3"/>
  <c r="AZ17" i="3"/>
  <c r="AY17" i="3"/>
  <c r="AG17" i="3"/>
  <c r="AB17" i="3" s="1"/>
  <c r="K17" i="3"/>
  <c r="DH16" i="3"/>
  <c r="DG16" i="3"/>
  <c r="DF16" i="3"/>
  <c r="DD16" i="3"/>
  <c r="DC16" i="3"/>
  <c r="DB16" i="3"/>
  <c r="DA16" i="3"/>
  <c r="CZ16" i="3"/>
  <c r="CY16" i="3"/>
  <c r="CX16" i="3"/>
  <c r="CW16" i="3"/>
  <c r="CV16" i="3"/>
  <c r="CU16" i="3"/>
  <c r="CT16" i="3"/>
  <c r="CS16" i="3"/>
  <c r="CR16" i="3"/>
  <c r="CQ16" i="3"/>
  <c r="CP16" i="3"/>
  <c r="BS16" i="3"/>
  <c r="BP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Z16" i="3"/>
  <c r="AY16" i="3"/>
  <c r="AB16" i="3"/>
  <c r="AA16" i="3" s="1"/>
  <c r="AW16" i="3" s="1"/>
  <c r="Z16" i="3"/>
  <c r="BQ16" i="3" s="1"/>
  <c r="G16" i="3"/>
  <c r="DH15" i="3"/>
  <c r="DG15" i="3"/>
  <c r="DF15" i="3"/>
  <c r="DD15" i="3"/>
  <c r="DC15" i="3"/>
  <c r="DB15" i="3"/>
  <c r="CZ15" i="3"/>
  <c r="CY15" i="3"/>
  <c r="CX15" i="3"/>
  <c r="CW15" i="3"/>
  <c r="CV15" i="3"/>
  <c r="CU15" i="3"/>
  <c r="CT15" i="3"/>
  <c r="CR15" i="3"/>
  <c r="CQ15" i="3"/>
  <c r="CP15" i="3"/>
  <c r="CF15" i="3"/>
  <c r="CF20" i="3" s="1"/>
  <c r="BX15" i="3"/>
  <c r="CS15" i="3" s="1"/>
  <c r="BQ15" i="3"/>
  <c r="BP15" i="3"/>
  <c r="BM15" i="3"/>
  <c r="BL15" i="3"/>
  <c r="BK15" i="3"/>
  <c r="BI15" i="3"/>
  <c r="BH15" i="3"/>
  <c r="BG15" i="3"/>
  <c r="BF15" i="3"/>
  <c r="BE15" i="3"/>
  <c r="BD15" i="3"/>
  <c r="BC15" i="3"/>
  <c r="BA15" i="3"/>
  <c r="AZ15" i="3"/>
  <c r="AY15" i="3"/>
  <c r="AO15" i="3"/>
  <c r="BJ15" i="3" s="1"/>
  <c r="AG15" i="3"/>
  <c r="G15" i="3"/>
  <c r="DH14" i="3"/>
  <c r="DG14" i="3"/>
  <c r="DF14" i="3"/>
  <c r="DD14" i="3"/>
  <c r="DC14" i="3"/>
  <c r="DB14" i="3"/>
  <c r="DA14" i="3"/>
  <c r="CZ14" i="3"/>
  <c r="CY14" i="3"/>
  <c r="CX14" i="3"/>
  <c r="CW14" i="3"/>
  <c r="CV14" i="3"/>
  <c r="CU14" i="3"/>
  <c r="CT14" i="3"/>
  <c r="CR14" i="3"/>
  <c r="CQ14" i="3"/>
  <c r="CP14" i="3"/>
  <c r="BX14" i="3"/>
  <c r="BS14" i="3" s="1"/>
  <c r="BQ14" i="3"/>
  <c r="BP14" i="3"/>
  <c r="BO14" i="3"/>
  <c r="BM14" i="3"/>
  <c r="BL14" i="3"/>
  <c r="BK14" i="3"/>
  <c r="BJ14" i="3"/>
  <c r="BI14" i="3"/>
  <c r="BH14" i="3"/>
  <c r="BG14" i="3"/>
  <c r="BF14" i="3"/>
  <c r="BE14" i="3"/>
  <c r="BD14" i="3"/>
  <c r="BC14" i="3"/>
  <c r="BB14" i="3"/>
  <c r="BA14" i="3"/>
  <c r="AZ14" i="3"/>
  <c r="AY14" i="3"/>
  <c r="AG14" i="3"/>
  <c r="AB14" i="3" s="1"/>
  <c r="K14" i="3"/>
  <c r="G14" i="3"/>
  <c r="DG13" i="3"/>
  <c r="DF13" i="3"/>
  <c r="DD13" i="3"/>
  <c r="DC13" i="3"/>
  <c r="DA13" i="3"/>
  <c r="CZ13" i="3"/>
  <c r="CY13" i="3"/>
  <c r="CX13" i="3"/>
  <c r="CW13" i="3"/>
  <c r="CV13" i="3"/>
  <c r="CU13" i="3"/>
  <c r="CR13" i="3"/>
  <c r="CQ13" i="3"/>
  <c r="CP13" i="3"/>
  <c r="CM13" i="3"/>
  <c r="CG13" i="3"/>
  <c r="CG140" i="3" s="1"/>
  <c r="BY13" i="3"/>
  <c r="BY140" i="3" s="1"/>
  <c r="BX13" i="3"/>
  <c r="CS13" i="3" s="1"/>
  <c r="BP13" i="3"/>
  <c r="BM13" i="3"/>
  <c r="BL13" i="3"/>
  <c r="BJ13" i="3"/>
  <c r="BI13" i="3"/>
  <c r="BH13" i="3"/>
  <c r="BG13" i="3"/>
  <c r="BF13" i="3"/>
  <c r="BE13" i="3"/>
  <c r="BD13" i="3"/>
  <c r="BA13" i="3"/>
  <c r="AZ13" i="3"/>
  <c r="AY13" i="3"/>
  <c r="AV13" i="3"/>
  <c r="AP13" i="3"/>
  <c r="BK13" i="3" s="1"/>
  <c r="AH13" i="3"/>
  <c r="AH140" i="3" s="1"/>
  <c r="AG13" i="3"/>
  <c r="Z13" i="3"/>
  <c r="G13" i="3"/>
  <c r="DH12" i="3"/>
  <c r="DG12" i="3"/>
  <c r="DF12" i="3"/>
  <c r="DD12" i="3"/>
  <c r="DC12" i="3"/>
  <c r="DB12" i="3"/>
  <c r="DA12" i="3"/>
  <c r="CZ12" i="3"/>
  <c r="CY12" i="3"/>
  <c r="CX12" i="3"/>
  <c r="CW12" i="3"/>
  <c r="CV12" i="3"/>
  <c r="CU12" i="3"/>
  <c r="CT12" i="3"/>
  <c r="CR12" i="3"/>
  <c r="CQ12" i="3"/>
  <c r="CP12" i="3"/>
  <c r="BX12" i="3"/>
  <c r="BS12" i="3" s="1"/>
  <c r="BR12" i="3" s="1"/>
  <c r="CN12" i="3" s="1"/>
  <c r="BQ12" i="3"/>
  <c r="BP12" i="3"/>
  <c r="BM12" i="3"/>
  <c r="BL12" i="3"/>
  <c r="BK12" i="3"/>
  <c r="BJ12" i="3"/>
  <c r="BI12" i="3"/>
  <c r="BH12" i="3"/>
  <c r="BG12" i="3"/>
  <c r="BF12" i="3"/>
  <c r="BE12" i="3"/>
  <c r="BD12" i="3"/>
  <c r="BC12" i="3"/>
  <c r="BA12" i="3"/>
  <c r="AZ12" i="3"/>
  <c r="AY12" i="3"/>
  <c r="AG12" i="3"/>
  <c r="BB12" i="3" s="1"/>
  <c r="G12" i="3"/>
  <c r="DH11" i="3"/>
  <c r="DG11" i="3"/>
  <c r="DF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CP11" i="3"/>
  <c r="BV11" i="3"/>
  <c r="BS11" i="3" s="1"/>
  <c r="BQ11" i="3"/>
  <c r="BP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Y11" i="3"/>
  <c r="AE11" i="3"/>
  <c r="G11" i="3"/>
  <c r="DH10" i="3"/>
  <c r="DG10" i="3"/>
  <c r="DF10" i="3"/>
  <c r="DD10" i="3"/>
  <c r="DC10" i="3"/>
  <c r="DB10" i="3"/>
  <c r="DA10" i="3"/>
  <c r="CZ10" i="3"/>
  <c r="CY10" i="3"/>
  <c r="CX10" i="3"/>
  <c r="CW10" i="3"/>
  <c r="CV10" i="3"/>
  <c r="CU10" i="3"/>
  <c r="CT10" i="3"/>
  <c r="CR10" i="3"/>
  <c r="CQ10" i="3"/>
  <c r="CP10" i="3"/>
  <c r="BX10" i="3"/>
  <c r="BS10" i="3" s="1"/>
  <c r="BQ10" i="3"/>
  <c r="BP10" i="3"/>
  <c r="BM10" i="3"/>
  <c r="BL10" i="3"/>
  <c r="BK10" i="3"/>
  <c r="BJ10" i="3"/>
  <c r="BI10" i="3"/>
  <c r="BH10" i="3"/>
  <c r="BG10" i="3"/>
  <c r="BF10" i="3"/>
  <c r="BE10" i="3"/>
  <c r="BD10" i="3"/>
  <c r="BC10" i="3"/>
  <c r="BA10" i="3"/>
  <c r="AZ10" i="3"/>
  <c r="AY10" i="3"/>
  <c r="AG10" i="3"/>
  <c r="AB10" i="3" s="1"/>
  <c r="K10" i="3"/>
  <c r="G10" i="3" s="1"/>
  <c r="DG9" i="3"/>
  <c r="DF9" i="3"/>
  <c r="DD9" i="3"/>
  <c r="DC9" i="3"/>
  <c r="DB9" i="3"/>
  <c r="DA9" i="3"/>
  <c r="CZ9" i="3"/>
  <c r="CY9" i="3"/>
  <c r="CX9" i="3"/>
  <c r="CW9" i="3"/>
  <c r="CV9" i="3"/>
  <c r="CU9" i="3"/>
  <c r="CT9" i="3"/>
  <c r="CR9" i="3"/>
  <c r="CP9" i="3"/>
  <c r="CM9" i="3"/>
  <c r="BX9" i="3"/>
  <c r="BV9" i="3"/>
  <c r="BS9" i="3" s="1"/>
  <c r="BP9" i="3"/>
  <c r="BM9" i="3"/>
  <c r="BL9" i="3"/>
  <c r="BK9" i="3"/>
  <c r="BJ9" i="3"/>
  <c r="BI9" i="3"/>
  <c r="BH9" i="3"/>
  <c r="BG9" i="3"/>
  <c r="BF9" i="3"/>
  <c r="BE9" i="3"/>
  <c r="BD9" i="3"/>
  <c r="BC9" i="3"/>
  <c r="BA9" i="3"/>
  <c r="AY9" i="3"/>
  <c r="AV9" i="3"/>
  <c r="AG9" i="3"/>
  <c r="BB9" i="3" s="1"/>
  <c r="AE9" i="3"/>
  <c r="Z9" i="3"/>
  <c r="K9" i="3"/>
  <c r="CS9" i="3" s="1"/>
  <c r="I9" i="3"/>
  <c r="DH8" i="3"/>
  <c r="DG8" i="3"/>
  <c r="DF8" i="3"/>
  <c r="DD8" i="3"/>
  <c r="DC8" i="3"/>
  <c r="DB8" i="3"/>
  <c r="DA8" i="3"/>
  <c r="CZ8" i="3"/>
  <c r="CY8" i="3"/>
  <c r="CX8" i="3"/>
  <c r="CW8" i="3"/>
  <c r="CV8" i="3"/>
  <c r="CU8" i="3"/>
  <c r="CT8" i="3"/>
  <c r="CR8" i="3"/>
  <c r="CP8" i="3"/>
  <c r="BX8" i="3"/>
  <c r="BV8" i="3"/>
  <c r="BQ8" i="3"/>
  <c r="BP8" i="3"/>
  <c r="BM8" i="3"/>
  <c r="BL8" i="3"/>
  <c r="BK8" i="3"/>
  <c r="BJ8" i="3"/>
  <c r="BI8" i="3"/>
  <c r="BH8" i="3"/>
  <c r="BG8" i="3"/>
  <c r="BF8" i="3"/>
  <c r="BE8" i="3"/>
  <c r="BD8" i="3"/>
  <c r="BC8" i="3"/>
  <c r="BA8" i="3"/>
  <c r="AY8" i="3"/>
  <c r="AG8" i="3"/>
  <c r="AE8" i="3"/>
  <c r="K8" i="3"/>
  <c r="I8" i="3"/>
  <c r="I138" i="3" s="1"/>
  <c r="DG7" i="3"/>
  <c r="DF7" i="3"/>
  <c r="DD7" i="3"/>
  <c r="DC7" i="3"/>
  <c r="DB7" i="3"/>
  <c r="DA7" i="3"/>
  <c r="CZ7" i="3"/>
  <c r="CY7" i="3"/>
  <c r="CX7" i="3"/>
  <c r="CW7" i="3"/>
  <c r="CV7" i="3"/>
  <c r="CU7" i="3"/>
  <c r="CT7" i="3"/>
  <c r="CR7" i="3"/>
  <c r="CP7" i="3"/>
  <c r="CM7" i="3"/>
  <c r="BS7" i="3"/>
  <c r="BP7" i="3"/>
  <c r="BM7" i="3"/>
  <c r="BL7" i="3"/>
  <c r="BK7" i="3"/>
  <c r="BJ7" i="3"/>
  <c r="BI7" i="3"/>
  <c r="BH7" i="3"/>
  <c r="BG7" i="3"/>
  <c r="BF7" i="3"/>
  <c r="BE7" i="3"/>
  <c r="BD7" i="3"/>
  <c r="BC7" i="3"/>
  <c r="BA7" i="3"/>
  <c r="AY7" i="3"/>
  <c r="AV7" i="3"/>
  <c r="AB7" i="3"/>
  <c r="Z7" i="3"/>
  <c r="DH7" i="3" s="1"/>
  <c r="K7" i="3"/>
  <c r="BB7" i="3" s="1"/>
  <c r="I7" i="3"/>
  <c r="DH6" i="3"/>
  <c r="DG6" i="3"/>
  <c r="DF6" i="3"/>
  <c r="DD6" i="3"/>
  <c r="DC6" i="3"/>
  <c r="DB6" i="3"/>
  <c r="DA6" i="3"/>
  <c r="CZ6" i="3"/>
  <c r="CY6" i="3"/>
  <c r="CX6" i="3"/>
  <c r="CW6" i="3"/>
  <c r="CV6" i="3"/>
  <c r="CU6" i="3"/>
  <c r="CT6" i="3"/>
  <c r="CR6" i="3"/>
  <c r="CP6" i="3"/>
  <c r="BX6" i="3"/>
  <c r="CS6" i="3" s="1"/>
  <c r="BQ6" i="3"/>
  <c r="BP6" i="3"/>
  <c r="BM6" i="3"/>
  <c r="BL6" i="3"/>
  <c r="BK6" i="3"/>
  <c r="BJ6" i="3"/>
  <c r="BI6" i="3"/>
  <c r="BH6" i="3"/>
  <c r="BG6" i="3"/>
  <c r="BF6" i="3"/>
  <c r="BE6" i="3"/>
  <c r="BD6" i="3"/>
  <c r="BC6" i="3"/>
  <c r="BA6" i="3"/>
  <c r="AY6" i="3"/>
  <c r="AG6" i="3"/>
  <c r="AB6" i="3" s="1"/>
  <c r="K6" i="3"/>
  <c r="I6" i="3"/>
  <c r="G6" i="3" s="1"/>
  <c r="DG5" i="3"/>
  <c r="DF5" i="3"/>
  <c r="DD5" i="3"/>
  <c r="DC5" i="3"/>
  <c r="DB5" i="3"/>
  <c r="DA5" i="3"/>
  <c r="CZ5" i="3"/>
  <c r="CY5" i="3"/>
  <c r="CX5" i="3"/>
  <c r="CW5" i="3"/>
  <c r="CV5" i="3"/>
  <c r="CU5" i="3"/>
  <c r="CT5" i="3"/>
  <c r="CR5" i="3"/>
  <c r="CP5" i="3"/>
  <c r="CM5" i="3"/>
  <c r="BX5" i="3"/>
  <c r="BS5" i="3" s="1"/>
  <c r="BP5" i="3"/>
  <c r="BM5" i="3"/>
  <c r="BL5" i="3"/>
  <c r="BK5" i="3"/>
  <c r="BJ5" i="3"/>
  <c r="BI5" i="3"/>
  <c r="BH5" i="3"/>
  <c r="BG5" i="3"/>
  <c r="BF5" i="3"/>
  <c r="BE5" i="3"/>
  <c r="BD5" i="3"/>
  <c r="BC5" i="3"/>
  <c r="BA5" i="3"/>
  <c r="AY5" i="3"/>
  <c r="AV5" i="3"/>
  <c r="BQ5" i="3" s="1"/>
  <c r="AG5" i="3"/>
  <c r="Z5" i="3"/>
  <c r="K5" i="3"/>
  <c r="I5" i="3"/>
  <c r="G5" i="3" s="1"/>
  <c r="DH4" i="3"/>
  <c r="DG4" i="3"/>
  <c r="DF4" i="3"/>
  <c r="DD4" i="3"/>
  <c r="DC4" i="3"/>
  <c r="DB4" i="3"/>
  <c r="DA4" i="3"/>
  <c r="CZ4" i="3"/>
  <c r="CY4" i="3"/>
  <c r="CX4" i="3"/>
  <c r="CW4" i="3"/>
  <c r="CV4" i="3"/>
  <c r="CU4" i="3"/>
  <c r="CT4" i="3"/>
  <c r="CR4" i="3"/>
  <c r="CR20" i="3" s="1"/>
  <c r="CQ4" i="3"/>
  <c r="CP4" i="3"/>
  <c r="BX4" i="3"/>
  <c r="BQ4" i="3"/>
  <c r="BP4" i="3"/>
  <c r="BO4" i="3"/>
  <c r="BO20" i="3" s="1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Z4" i="3"/>
  <c r="AY4" i="3"/>
  <c r="AB4" i="3"/>
  <c r="G4" i="3"/>
  <c r="BL3" i="3"/>
  <c r="CH3" i="3" s="1"/>
  <c r="DC3" i="3" s="1"/>
  <c r="DE145" i="2"/>
  <c r="CL145" i="2"/>
  <c r="CK145" i="2"/>
  <c r="CJ145" i="2"/>
  <c r="CG145" i="2"/>
  <c r="CF145" i="2"/>
  <c r="CE145" i="2"/>
  <c r="CD145" i="2"/>
  <c r="CC145" i="2"/>
  <c r="CB145" i="2"/>
  <c r="CA145" i="2"/>
  <c r="BZ145" i="2"/>
  <c r="BY145" i="2"/>
  <c r="BW145" i="2"/>
  <c r="BT145" i="2"/>
  <c r="AU145" i="2"/>
  <c r="AT145" i="2"/>
  <c r="AS145" i="2"/>
  <c r="AP145" i="2"/>
  <c r="AO145" i="2"/>
  <c r="AN145" i="2"/>
  <c r="AM145" i="2"/>
  <c r="AL145" i="2"/>
  <c r="AK145" i="2"/>
  <c r="AJ145" i="2"/>
  <c r="AI145" i="2"/>
  <c r="AH145" i="2"/>
  <c r="AF145" i="2"/>
  <c r="AC145" i="2"/>
  <c r="Y145" i="2"/>
  <c r="X145" i="2"/>
  <c r="T145" i="2"/>
  <c r="S145" i="2"/>
  <c r="R145" i="2"/>
  <c r="Q145" i="2"/>
  <c r="P145" i="2"/>
  <c r="O145" i="2"/>
  <c r="N145" i="2"/>
  <c r="M145" i="2"/>
  <c r="L145" i="2"/>
  <c r="K145" i="2"/>
  <c r="J145" i="2"/>
  <c r="DE143" i="2"/>
  <c r="CJ143" i="2"/>
  <c r="AS143" i="2"/>
  <c r="Z143" i="2"/>
  <c r="X143" i="2"/>
  <c r="DE142" i="2"/>
  <c r="CL142" i="2"/>
  <c r="CK142" i="2"/>
  <c r="CJ142" i="2"/>
  <c r="CI142" i="2"/>
  <c r="CH142" i="2"/>
  <c r="CG142" i="2"/>
  <c r="CD142" i="2"/>
  <c r="CC142" i="2"/>
  <c r="CB142" i="2"/>
  <c r="CA142" i="2"/>
  <c r="BZ142" i="2"/>
  <c r="BW142" i="2"/>
  <c r="BV142" i="2"/>
  <c r="BU142" i="2"/>
  <c r="BT142" i="2"/>
  <c r="AU142" i="2"/>
  <c r="AT142" i="2"/>
  <c r="AS142" i="2"/>
  <c r="AR142" i="2"/>
  <c r="AQ142" i="2"/>
  <c r="AP142" i="2"/>
  <c r="AM142" i="2"/>
  <c r="AL142" i="2"/>
  <c r="AK142" i="2"/>
  <c r="AJ142" i="2"/>
  <c r="AI142" i="2"/>
  <c r="AF142" i="2"/>
  <c r="AE142" i="2"/>
  <c r="AD142" i="2"/>
  <c r="AC142" i="2"/>
  <c r="Y142" i="2"/>
  <c r="X142" i="2"/>
  <c r="V142" i="2"/>
  <c r="U142" i="2"/>
  <c r="T142" i="2"/>
  <c r="Q142" i="2"/>
  <c r="P142" i="2"/>
  <c r="O142" i="2"/>
  <c r="N142" i="2"/>
  <c r="M142" i="2"/>
  <c r="J142" i="2"/>
  <c r="I142" i="2"/>
  <c r="H142" i="2"/>
  <c r="DE141" i="2"/>
  <c r="CL141" i="2"/>
  <c r="CK141" i="2"/>
  <c r="CJ141" i="2"/>
  <c r="CI141" i="2"/>
  <c r="CE141" i="2"/>
  <c r="CD141" i="2"/>
  <c r="CC141" i="2"/>
  <c r="CB141" i="2"/>
  <c r="CA141" i="2"/>
  <c r="BZ141" i="2"/>
  <c r="BW141" i="2"/>
  <c r="BV141" i="2"/>
  <c r="BU141" i="2"/>
  <c r="BT141" i="2"/>
  <c r="AU141" i="2"/>
  <c r="AT141" i="2"/>
  <c r="AS141" i="2"/>
  <c r="AR141" i="2"/>
  <c r="AN141" i="2"/>
  <c r="AM141" i="2"/>
  <c r="AL141" i="2"/>
  <c r="AK141" i="2"/>
  <c r="AJ141" i="2"/>
  <c r="AI141" i="2"/>
  <c r="AF141" i="2"/>
  <c r="AE141" i="2"/>
  <c r="AD141" i="2"/>
  <c r="AC141" i="2"/>
  <c r="Y141" i="2"/>
  <c r="X141" i="2"/>
  <c r="V141" i="2"/>
  <c r="U141" i="2"/>
  <c r="T141" i="2"/>
  <c r="S141" i="2"/>
  <c r="R141" i="2"/>
  <c r="Q141" i="2"/>
  <c r="P141" i="2"/>
  <c r="O141" i="2"/>
  <c r="N141" i="2"/>
  <c r="M141" i="2"/>
  <c r="L141" i="2"/>
  <c r="J141" i="2"/>
  <c r="H141" i="2"/>
  <c r="CK140" i="2"/>
  <c r="CI140" i="2"/>
  <c r="CG140" i="2"/>
  <c r="CD140" i="2"/>
  <c r="CC140" i="2"/>
  <c r="CB140" i="2"/>
  <c r="CA140" i="2"/>
  <c r="BZ140" i="2"/>
  <c r="BX140" i="2"/>
  <c r="BW140" i="2"/>
  <c r="BU140" i="2"/>
  <c r="BT140" i="2"/>
  <c r="AT140" i="2"/>
  <c r="AR140" i="2"/>
  <c r="AP140" i="2"/>
  <c r="AM140" i="2"/>
  <c r="AL140" i="2"/>
  <c r="AK140" i="2"/>
  <c r="AJ140" i="2"/>
  <c r="AI140" i="2"/>
  <c r="AG140" i="2"/>
  <c r="AF140" i="2"/>
  <c r="AD140" i="2"/>
  <c r="AC140" i="2"/>
  <c r="X140" i="2"/>
  <c r="V140" i="2"/>
  <c r="T140" i="2"/>
  <c r="S140" i="2"/>
  <c r="Q140" i="2"/>
  <c r="P140" i="2"/>
  <c r="O140" i="2"/>
  <c r="N140" i="2"/>
  <c r="M140" i="2"/>
  <c r="K140" i="2"/>
  <c r="J140" i="2"/>
  <c r="H140" i="2"/>
  <c r="DE139" i="2"/>
  <c r="CL139" i="2"/>
  <c r="CK139" i="2"/>
  <c r="CJ139" i="2"/>
  <c r="CI139" i="2"/>
  <c r="CH139" i="2"/>
  <c r="CG139" i="2"/>
  <c r="CF139" i="2"/>
  <c r="CE139" i="2"/>
  <c r="CD139" i="2"/>
  <c r="CC139" i="2"/>
  <c r="CB139" i="2"/>
  <c r="CA139" i="2"/>
  <c r="BZ139" i="2"/>
  <c r="BY139" i="2"/>
  <c r="BW139" i="2"/>
  <c r="BU139" i="2"/>
  <c r="BT139" i="2"/>
  <c r="BO139" i="2"/>
  <c r="AU139" i="2"/>
  <c r="AT139" i="2"/>
  <c r="AS139" i="2"/>
  <c r="AR139" i="2"/>
  <c r="AQ139" i="2"/>
  <c r="AP139" i="2"/>
  <c r="AO139" i="2"/>
  <c r="AN139" i="2"/>
  <c r="AM139" i="2"/>
  <c r="AL139" i="2"/>
  <c r="AK139" i="2"/>
  <c r="AJ139" i="2"/>
  <c r="AI139" i="2"/>
  <c r="AH139" i="2"/>
  <c r="AF139" i="2"/>
  <c r="AD139" i="2"/>
  <c r="AC139" i="2"/>
  <c r="Y139" i="2"/>
  <c r="X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H139" i="2"/>
  <c r="DE138" i="2"/>
  <c r="CL138" i="2"/>
  <c r="CK138" i="2"/>
  <c r="CJ138" i="2"/>
  <c r="CI138" i="2"/>
  <c r="CH138" i="2"/>
  <c r="CG138" i="2"/>
  <c r="CE138" i="2"/>
  <c r="CC138" i="2"/>
  <c r="CB138" i="2"/>
  <c r="CA138" i="2"/>
  <c r="BZ138" i="2"/>
  <c r="BY138" i="2"/>
  <c r="BX138" i="2"/>
  <c r="BW138" i="2"/>
  <c r="BU138" i="2"/>
  <c r="BT138" i="2"/>
  <c r="AU138" i="2"/>
  <c r="AT138" i="2"/>
  <c r="AS138" i="2"/>
  <c r="AR138" i="2"/>
  <c r="AQ138" i="2"/>
  <c r="AP138" i="2"/>
  <c r="AN138" i="2"/>
  <c r="AL138" i="2"/>
  <c r="AK138" i="2"/>
  <c r="AJ138" i="2"/>
  <c r="AI138" i="2"/>
  <c r="AH138" i="2"/>
  <c r="AG138" i="2"/>
  <c r="AF138" i="2"/>
  <c r="AD138" i="2"/>
  <c r="AC138" i="2"/>
  <c r="Y138" i="2"/>
  <c r="X138" i="2"/>
  <c r="V138" i="2"/>
  <c r="T138" i="2"/>
  <c r="R138" i="2"/>
  <c r="P138" i="2"/>
  <c r="O138" i="2"/>
  <c r="N138" i="2"/>
  <c r="M138" i="2"/>
  <c r="L138" i="2"/>
  <c r="K138" i="2"/>
  <c r="J138" i="2"/>
  <c r="H138" i="2"/>
  <c r="DE137" i="2"/>
  <c r="CL137" i="2"/>
  <c r="CK137" i="2"/>
  <c r="CJ137" i="2"/>
  <c r="CI137" i="2"/>
  <c r="CH137" i="2"/>
  <c r="CG137" i="2"/>
  <c r="CF137" i="2"/>
  <c r="CE137" i="2"/>
  <c r="CB137" i="2"/>
  <c r="CA137" i="2"/>
  <c r="BZ137" i="2"/>
  <c r="BY137" i="2"/>
  <c r="BX137" i="2"/>
  <c r="BU137" i="2"/>
  <c r="BT137" i="2"/>
  <c r="BO137" i="2"/>
  <c r="AU137" i="2"/>
  <c r="AT137" i="2"/>
  <c r="AS137" i="2"/>
  <c r="AR137" i="2"/>
  <c r="AQ137" i="2"/>
  <c r="AP137" i="2"/>
  <c r="AO137" i="2"/>
  <c r="AN137" i="2"/>
  <c r="AK137" i="2"/>
  <c r="AJ137" i="2"/>
  <c r="AI137" i="2"/>
  <c r="AH137" i="2"/>
  <c r="AG137" i="2"/>
  <c r="AD137" i="2"/>
  <c r="AC137" i="2"/>
  <c r="Y137" i="2"/>
  <c r="X137" i="2"/>
  <c r="V137" i="2"/>
  <c r="U137" i="2"/>
  <c r="T137" i="2"/>
  <c r="S137" i="2"/>
  <c r="R137" i="2"/>
  <c r="L137" i="2"/>
  <c r="K137" i="2"/>
  <c r="H137" i="2"/>
  <c r="DE133" i="2"/>
  <c r="CL133" i="2"/>
  <c r="CI133" i="2"/>
  <c r="CE133" i="2"/>
  <c r="CB133" i="2"/>
  <c r="CA133" i="2"/>
  <c r="BZ133" i="2"/>
  <c r="BY133" i="2"/>
  <c r="BU133" i="2"/>
  <c r="BT133" i="2"/>
  <c r="BN133" i="2"/>
  <c r="AU133" i="2"/>
  <c r="AS133" i="2"/>
  <c r="AR133" i="2"/>
  <c r="AN133" i="2"/>
  <c r="AK133" i="2"/>
  <c r="AJ133" i="2"/>
  <c r="AI133" i="2"/>
  <c r="AH133" i="2"/>
  <c r="AD133" i="2"/>
  <c r="Y133" i="2"/>
  <c r="X133" i="2"/>
  <c r="W133" i="2"/>
  <c r="V133" i="2"/>
  <c r="U133" i="2"/>
  <c r="R133" i="2"/>
  <c r="L133" i="2"/>
  <c r="H133" i="2"/>
  <c r="DG132" i="2"/>
  <c r="DF132" i="2"/>
  <c r="DD132" i="2"/>
  <c r="DC132" i="2"/>
  <c r="DB132" i="2"/>
  <c r="DA132" i="2"/>
  <c r="CZ132" i="2"/>
  <c r="CY132" i="2"/>
  <c r="CX132" i="2"/>
  <c r="CW132" i="2"/>
  <c r="CV132" i="2"/>
  <c r="CU132" i="2"/>
  <c r="CT132" i="2"/>
  <c r="CR132" i="2"/>
  <c r="CQ132" i="2"/>
  <c r="CP132" i="2"/>
  <c r="CM132" i="2"/>
  <c r="BX132" i="2"/>
  <c r="BP132" i="2"/>
  <c r="BM132" i="2"/>
  <c r="BL132" i="2"/>
  <c r="BK132" i="2"/>
  <c r="BJ132" i="2"/>
  <c r="BI132" i="2"/>
  <c r="BH132" i="2"/>
  <c r="BG132" i="2"/>
  <c r="BF132" i="2"/>
  <c r="BE132" i="2"/>
  <c r="BD132" i="2"/>
  <c r="BC132" i="2"/>
  <c r="BA132" i="2"/>
  <c r="AZ132" i="2"/>
  <c r="AY132" i="2"/>
  <c r="AV132" i="2"/>
  <c r="AG132" i="2"/>
  <c r="Z132" i="2"/>
  <c r="K132" i="2"/>
  <c r="DH131" i="2"/>
  <c r="DG131" i="2"/>
  <c r="DF131" i="2"/>
  <c r="DD131" i="2"/>
  <c r="DC131" i="2"/>
  <c r="DB131" i="2"/>
  <c r="DA131" i="2"/>
  <c r="CZ131" i="2"/>
  <c r="CY131" i="2"/>
  <c r="CX131" i="2"/>
  <c r="CW131" i="2"/>
  <c r="CV131" i="2"/>
  <c r="CU131" i="2"/>
  <c r="CT131" i="2"/>
  <c r="CR131" i="2"/>
  <c r="CQ131" i="2"/>
  <c r="CP131" i="2"/>
  <c r="BX131" i="2"/>
  <c r="CS131" i="2" s="1"/>
  <c r="BQ131" i="2"/>
  <c r="BP131" i="2"/>
  <c r="BM131" i="2"/>
  <c r="BL131" i="2"/>
  <c r="BK131" i="2"/>
  <c r="BJ131" i="2"/>
  <c r="BI131" i="2"/>
  <c r="BH131" i="2"/>
  <c r="BG131" i="2"/>
  <c r="BF131" i="2"/>
  <c r="BE131" i="2"/>
  <c r="BD131" i="2"/>
  <c r="BC131" i="2"/>
  <c r="BA131" i="2"/>
  <c r="AZ131" i="2"/>
  <c r="AY131" i="2"/>
  <c r="AG131" i="2"/>
  <c r="BB131" i="2" s="1"/>
  <c r="G131" i="2"/>
  <c r="DH130" i="2"/>
  <c r="DG130" i="2"/>
  <c r="DF130" i="2"/>
  <c r="DD130" i="2"/>
  <c r="DC130" i="2"/>
  <c r="DB130" i="2"/>
  <c r="DA130" i="2"/>
  <c r="CZ130" i="2"/>
  <c r="CY130" i="2"/>
  <c r="CX130" i="2"/>
  <c r="CW130" i="2"/>
  <c r="CV130" i="2"/>
  <c r="CU130" i="2"/>
  <c r="CT130" i="2"/>
  <c r="CR130" i="2"/>
  <c r="CQ130" i="2"/>
  <c r="CP130" i="2"/>
  <c r="BX130" i="2"/>
  <c r="BQ130" i="2"/>
  <c r="BP130" i="2"/>
  <c r="BM130" i="2"/>
  <c r="BL130" i="2"/>
  <c r="BK130" i="2"/>
  <c r="BJ130" i="2"/>
  <c r="BI130" i="2"/>
  <c r="BH130" i="2"/>
  <c r="BG130" i="2"/>
  <c r="BF130" i="2"/>
  <c r="BE130" i="2"/>
  <c r="BD130" i="2"/>
  <c r="BC130" i="2"/>
  <c r="BA130" i="2"/>
  <c r="AZ130" i="2"/>
  <c r="AY130" i="2"/>
  <c r="AG130" i="2"/>
  <c r="G130" i="2"/>
  <c r="DH129" i="2"/>
  <c r="DG129" i="2"/>
  <c r="DF129" i="2"/>
  <c r="DD129" i="2"/>
  <c r="DC129" i="2"/>
  <c r="DB129" i="2"/>
  <c r="CZ129" i="2"/>
  <c r="CY129" i="2"/>
  <c r="CX129" i="2"/>
  <c r="CW129" i="2"/>
  <c r="CV129" i="2"/>
  <c r="CU129" i="2"/>
  <c r="CT129" i="2"/>
  <c r="CS129" i="2"/>
  <c r="CR129" i="2"/>
  <c r="CQ129" i="2"/>
  <c r="CP129" i="2"/>
  <c r="CF129" i="2"/>
  <c r="BS129" i="2" s="1"/>
  <c r="BQ129" i="2"/>
  <c r="BP129" i="2"/>
  <c r="BM129" i="2"/>
  <c r="BL129" i="2"/>
  <c r="BK129" i="2"/>
  <c r="BI129" i="2"/>
  <c r="BH129" i="2"/>
  <c r="BG129" i="2"/>
  <c r="BF129" i="2"/>
  <c r="BE129" i="2"/>
  <c r="BD129" i="2"/>
  <c r="BC129" i="2"/>
  <c r="BB129" i="2"/>
  <c r="BA129" i="2"/>
  <c r="AZ129" i="2"/>
  <c r="AY129" i="2"/>
  <c r="AO129" i="2"/>
  <c r="BJ129" i="2" s="1"/>
  <c r="G129" i="2"/>
  <c r="DH128" i="2"/>
  <c r="DG128" i="2"/>
  <c r="DF128" i="2"/>
  <c r="DD128" i="2"/>
  <c r="DC128" i="2"/>
  <c r="DB128" i="2"/>
  <c r="DA128" i="2"/>
  <c r="CZ128" i="2"/>
  <c r="CY128" i="2"/>
  <c r="CX128" i="2"/>
  <c r="CW128" i="2"/>
  <c r="CV128" i="2"/>
  <c r="CU128" i="2"/>
  <c r="CT128" i="2"/>
  <c r="CR128" i="2"/>
  <c r="CQ128" i="2"/>
  <c r="CP128" i="2"/>
  <c r="BX128" i="2"/>
  <c r="BS128" i="2" s="1"/>
  <c r="BQ128" i="2"/>
  <c r="BP128" i="2"/>
  <c r="BM128" i="2"/>
  <c r="BL128" i="2"/>
  <c r="BK128" i="2"/>
  <c r="BJ128" i="2"/>
  <c r="BI128" i="2"/>
  <c r="BH128" i="2"/>
  <c r="BG128" i="2"/>
  <c r="BF128" i="2"/>
  <c r="BE128" i="2"/>
  <c r="BD128" i="2"/>
  <c r="BC128" i="2"/>
  <c r="BA128" i="2"/>
  <c r="AZ128" i="2"/>
  <c r="AY128" i="2"/>
  <c r="AG128" i="2"/>
  <c r="AB128" i="2" s="1"/>
  <c r="K128" i="2"/>
  <c r="DH127" i="2"/>
  <c r="DG127" i="2"/>
  <c r="DF127" i="2"/>
  <c r="DD127" i="2"/>
  <c r="DB127" i="2"/>
  <c r="DA127" i="2"/>
  <c r="CZ127" i="2"/>
  <c r="CY127" i="2"/>
  <c r="CX127" i="2"/>
  <c r="CW127" i="2"/>
  <c r="CV127" i="2"/>
  <c r="CU127" i="2"/>
  <c r="CT127" i="2"/>
  <c r="CR127" i="2"/>
  <c r="CQ127" i="2"/>
  <c r="CP127" i="2"/>
  <c r="CH127" i="2"/>
  <c r="BX127" i="2"/>
  <c r="BQ127" i="2"/>
  <c r="BP127" i="2"/>
  <c r="BM127" i="2"/>
  <c r="BK127" i="2"/>
  <c r="BJ127" i="2"/>
  <c r="BI127" i="2"/>
  <c r="BH127" i="2"/>
  <c r="BG127" i="2"/>
  <c r="BF127" i="2"/>
  <c r="BE127" i="2"/>
  <c r="BD127" i="2"/>
  <c r="BC127" i="2"/>
  <c r="BA127" i="2"/>
  <c r="AZ127" i="2"/>
  <c r="AY127" i="2"/>
  <c r="AQ127" i="2"/>
  <c r="AG127" i="2"/>
  <c r="K127" i="2"/>
  <c r="CK126" i="2"/>
  <c r="DF126" i="2" s="1"/>
  <c r="CG126" i="2"/>
  <c r="CG133" i="2" s="1"/>
  <c r="AT126" i="2"/>
  <c r="AP126" i="2"/>
  <c r="AP133" i="2" s="1"/>
  <c r="T126" i="2"/>
  <c r="T143" i="2" s="1"/>
  <c r="DH125" i="2"/>
  <c r="DG125" i="2"/>
  <c r="DF125" i="2"/>
  <c r="DD125" i="2"/>
  <c r="DC125" i="2"/>
  <c r="DB125" i="2"/>
  <c r="CZ125" i="2"/>
  <c r="CY125" i="2"/>
  <c r="CX125" i="2"/>
  <c r="CW125" i="2"/>
  <c r="CV125" i="2"/>
  <c r="CU125" i="2"/>
  <c r="CT125" i="2"/>
  <c r="CS125" i="2"/>
  <c r="CR125" i="2"/>
  <c r="CQ125" i="2"/>
  <c r="CP125" i="2"/>
  <c r="CF125" i="2"/>
  <c r="BQ125" i="2"/>
  <c r="BP125" i="2"/>
  <c r="BO125" i="2"/>
  <c r="BM125" i="2"/>
  <c r="BL125" i="2"/>
  <c r="BK125" i="2"/>
  <c r="BI125" i="2"/>
  <c r="BH125" i="2"/>
  <c r="BG125" i="2"/>
  <c r="BF125" i="2"/>
  <c r="BE125" i="2"/>
  <c r="BD125" i="2"/>
  <c r="BC125" i="2"/>
  <c r="BB125" i="2"/>
  <c r="BA125" i="2"/>
  <c r="AZ125" i="2"/>
  <c r="AY125" i="2"/>
  <c r="AO125" i="2"/>
  <c r="G125" i="2"/>
  <c r="DH124" i="2"/>
  <c r="DG124" i="2"/>
  <c r="DF124" i="2"/>
  <c r="DD124" i="2"/>
  <c r="DB124" i="2"/>
  <c r="DA124" i="2"/>
  <c r="CZ124" i="2"/>
  <c r="CY124" i="2"/>
  <c r="CX124" i="2"/>
  <c r="CW124" i="2"/>
  <c r="CV124" i="2"/>
  <c r="CU124" i="2"/>
  <c r="CT124" i="2"/>
  <c r="CS124" i="2"/>
  <c r="CR124" i="2"/>
  <c r="CP124" i="2"/>
  <c r="BV124" i="2"/>
  <c r="BS124" i="2" s="1"/>
  <c r="BQ124" i="2"/>
  <c r="BP124" i="2"/>
  <c r="BM124" i="2"/>
  <c r="BL124" i="2"/>
  <c r="BK124" i="2"/>
  <c r="BJ124" i="2"/>
  <c r="BI124" i="2"/>
  <c r="BH124" i="2"/>
  <c r="BG124" i="2"/>
  <c r="BF124" i="2"/>
  <c r="BE124" i="2"/>
  <c r="BD124" i="2"/>
  <c r="BC124" i="2"/>
  <c r="BB124" i="2"/>
  <c r="BA124" i="2"/>
  <c r="AY124" i="2"/>
  <c r="AE124" i="2"/>
  <c r="U124" i="2"/>
  <c r="DC124" i="2" s="1"/>
  <c r="I124" i="2"/>
  <c r="DG123" i="2"/>
  <c r="DF123" i="2"/>
  <c r="DD123" i="2"/>
  <c r="DC123" i="2"/>
  <c r="DB123" i="2"/>
  <c r="DA123" i="2"/>
  <c r="CZ123" i="2"/>
  <c r="CY123" i="2"/>
  <c r="CX123" i="2"/>
  <c r="CW123" i="2"/>
  <c r="CV123" i="2"/>
  <c r="CU123" i="2"/>
  <c r="CT123" i="2"/>
  <c r="CS123" i="2"/>
  <c r="CR123" i="2"/>
  <c r="CQ123" i="2"/>
  <c r="CP123" i="2"/>
  <c r="CM123" i="2"/>
  <c r="BS123" i="2" s="1"/>
  <c r="BP123" i="2"/>
  <c r="BM123" i="2"/>
  <c r="BL123" i="2"/>
  <c r="BK123" i="2"/>
  <c r="BJ123" i="2"/>
  <c r="BI123" i="2"/>
  <c r="BH123" i="2"/>
  <c r="BG123" i="2"/>
  <c r="BF123" i="2"/>
  <c r="BE123" i="2"/>
  <c r="BD123" i="2"/>
  <c r="BC123" i="2"/>
  <c r="BB123" i="2"/>
  <c r="BA123" i="2"/>
  <c r="AZ123" i="2"/>
  <c r="AY123" i="2"/>
  <c r="AV123" i="2"/>
  <c r="AB123" i="2" s="1"/>
  <c r="Z123" i="2"/>
  <c r="DG122" i="2"/>
  <c r="DF122" i="2"/>
  <c r="DD122" i="2"/>
  <c r="DC122" i="2"/>
  <c r="DB122" i="2"/>
  <c r="DA122" i="2"/>
  <c r="CZ122" i="2"/>
  <c r="CY122" i="2"/>
  <c r="CX122" i="2"/>
  <c r="CW122" i="2"/>
  <c r="CV122" i="2"/>
  <c r="CU122" i="2"/>
  <c r="CT122" i="2"/>
  <c r="CS122" i="2"/>
  <c r="CR122" i="2"/>
  <c r="CQ122" i="2"/>
  <c r="CP122" i="2"/>
  <c r="CM122" i="2"/>
  <c r="BS122" i="2" s="1"/>
  <c r="BP122" i="2"/>
  <c r="BM122" i="2"/>
  <c r="BL122" i="2"/>
  <c r="BK122" i="2"/>
  <c r="BJ122" i="2"/>
  <c r="BI122" i="2"/>
  <c r="BH122" i="2"/>
  <c r="BG122" i="2"/>
  <c r="BF122" i="2"/>
  <c r="BE122" i="2"/>
  <c r="BD122" i="2"/>
  <c r="BC122" i="2"/>
  <c r="BB122" i="2"/>
  <c r="BA122" i="2"/>
  <c r="AZ122" i="2"/>
  <c r="AY122" i="2"/>
  <c r="AV122" i="2"/>
  <c r="AB122" i="2" s="1"/>
  <c r="Z122" i="2"/>
  <c r="G122" i="2" s="1"/>
  <c r="DG121" i="2"/>
  <c r="DF121" i="2"/>
  <c r="DD121" i="2"/>
  <c r="DC121" i="2"/>
  <c r="DB121" i="2"/>
  <c r="DA121" i="2"/>
  <c r="CZ121" i="2"/>
  <c r="CY121" i="2"/>
  <c r="CX121" i="2"/>
  <c r="CW121" i="2"/>
  <c r="CV121" i="2"/>
  <c r="CU121" i="2"/>
  <c r="CT121" i="2"/>
  <c r="CS121" i="2"/>
  <c r="CR121" i="2"/>
  <c r="CP121" i="2"/>
  <c r="CM121" i="2"/>
  <c r="BV121" i="2"/>
  <c r="BP121" i="2"/>
  <c r="BM121" i="2"/>
  <c r="BL121" i="2"/>
  <c r="BK121" i="2"/>
  <c r="BJ121" i="2"/>
  <c r="BI121" i="2"/>
  <c r="BH121" i="2"/>
  <c r="BG121" i="2"/>
  <c r="BF121" i="2"/>
  <c r="BE121" i="2"/>
  <c r="BD121" i="2"/>
  <c r="BC121" i="2"/>
  <c r="BB121" i="2"/>
  <c r="BA121" i="2"/>
  <c r="AY121" i="2"/>
  <c r="AV121" i="2"/>
  <c r="AE121" i="2"/>
  <c r="Z121" i="2"/>
  <c r="I121" i="2"/>
  <c r="DG120" i="2"/>
  <c r="DF120" i="2"/>
  <c r="DD120" i="2"/>
  <c r="DC120" i="2"/>
  <c r="DB120" i="2"/>
  <c r="DA120" i="2"/>
  <c r="CZ120" i="2"/>
  <c r="CX120" i="2"/>
  <c r="CW120" i="2"/>
  <c r="CV120" i="2"/>
  <c r="CU120" i="2"/>
  <c r="CT120" i="2"/>
  <c r="CS120" i="2"/>
  <c r="CR120" i="2"/>
  <c r="CP120" i="2"/>
  <c r="CM120" i="2"/>
  <c r="CD120" i="2"/>
  <c r="CY120" i="2" s="1"/>
  <c r="BV120" i="2"/>
  <c r="CQ120" i="2" s="1"/>
  <c r="BP120" i="2"/>
  <c r="BM120" i="2"/>
  <c r="BL120" i="2"/>
  <c r="BK120" i="2"/>
  <c r="BJ120" i="2"/>
  <c r="BI120" i="2"/>
  <c r="BH120" i="2"/>
  <c r="BG120" i="2"/>
  <c r="BF120" i="2"/>
  <c r="BE120" i="2"/>
  <c r="BD120" i="2"/>
  <c r="BC120" i="2"/>
  <c r="BB120" i="2"/>
  <c r="BA120" i="2"/>
  <c r="AY120" i="2"/>
  <c r="AV120" i="2"/>
  <c r="AE120" i="2"/>
  <c r="AZ120" i="2" s="1"/>
  <c r="Z120" i="2"/>
  <c r="G120" i="2" s="1"/>
  <c r="DG119" i="2"/>
  <c r="DF119" i="2"/>
  <c r="DD119" i="2"/>
  <c r="DC119" i="2"/>
  <c r="DB119" i="2"/>
  <c r="DA119" i="2"/>
  <c r="CZ119" i="2"/>
  <c r="CY119" i="2"/>
  <c r="CX119" i="2"/>
  <c r="CW119" i="2"/>
  <c r="CV119" i="2"/>
  <c r="CU119" i="2"/>
  <c r="CT119" i="2"/>
  <c r="CS119" i="2"/>
  <c r="CR119" i="2"/>
  <c r="CP119" i="2"/>
  <c r="CM119" i="2"/>
  <c r="BV119" i="2"/>
  <c r="BP119" i="2"/>
  <c r="BM119" i="2"/>
  <c r="BL119" i="2"/>
  <c r="BK119" i="2"/>
  <c r="BJ119" i="2"/>
  <c r="BI119" i="2"/>
  <c r="BH119" i="2"/>
  <c r="BG119" i="2"/>
  <c r="BF119" i="2"/>
  <c r="BE119" i="2"/>
  <c r="BD119" i="2"/>
  <c r="BC119" i="2"/>
  <c r="BB119" i="2"/>
  <c r="BA119" i="2"/>
  <c r="AY119" i="2"/>
  <c r="AV119" i="2"/>
  <c r="AE119" i="2"/>
  <c r="Z119" i="2"/>
  <c r="I119" i="2"/>
  <c r="DG118" i="2"/>
  <c r="DF118" i="2"/>
  <c r="DD118" i="2"/>
  <c r="DC118" i="2"/>
  <c r="DB118" i="2"/>
  <c r="CZ118" i="2"/>
  <c r="CY118" i="2"/>
  <c r="CX118" i="2"/>
  <c r="CW118" i="2"/>
  <c r="CV118" i="2"/>
  <c r="CU118" i="2"/>
  <c r="CT118" i="2"/>
  <c r="CS118" i="2"/>
  <c r="CR118" i="2"/>
  <c r="CP118" i="2"/>
  <c r="CM118" i="2"/>
  <c r="DH118" i="2" s="1"/>
  <c r="CF118" i="2"/>
  <c r="BV118" i="2"/>
  <c r="BP118" i="2"/>
  <c r="BM118" i="2"/>
  <c r="BL118" i="2"/>
  <c r="BK118" i="2"/>
  <c r="BI118" i="2"/>
  <c r="BH118" i="2"/>
  <c r="BG118" i="2"/>
  <c r="BF118" i="2"/>
  <c r="BE118" i="2"/>
  <c r="BD118" i="2"/>
  <c r="BC118" i="2"/>
  <c r="BB118" i="2"/>
  <c r="BA118" i="2"/>
  <c r="AY118" i="2"/>
  <c r="AV118" i="2"/>
  <c r="BQ118" i="2" s="1"/>
  <c r="AO118" i="2"/>
  <c r="AE118" i="2"/>
  <c r="S118" i="2"/>
  <c r="S138" i="2" s="1"/>
  <c r="I118" i="2"/>
  <c r="DG117" i="2"/>
  <c r="DF117" i="2"/>
  <c r="DD117" i="2"/>
  <c r="DC117" i="2"/>
  <c r="DB117" i="2"/>
  <c r="CZ117" i="2"/>
  <c r="CX117" i="2"/>
  <c r="CW117" i="2"/>
  <c r="CV117" i="2"/>
  <c r="CU117" i="2"/>
  <c r="CT117" i="2"/>
  <c r="CS117" i="2"/>
  <c r="CR117" i="2"/>
  <c r="CP117" i="2"/>
  <c r="CM117" i="2"/>
  <c r="CF117" i="2"/>
  <c r="DA117" i="2" s="1"/>
  <c r="CD117" i="2"/>
  <c r="BV117" i="2"/>
  <c r="BP117" i="2"/>
  <c r="BM117" i="2"/>
  <c r="BL117" i="2"/>
  <c r="BK117" i="2"/>
  <c r="BI117" i="2"/>
  <c r="BG117" i="2"/>
  <c r="BF117" i="2"/>
  <c r="BE117" i="2"/>
  <c r="BD117" i="2"/>
  <c r="BC117" i="2"/>
  <c r="BB117" i="2"/>
  <c r="BA117" i="2"/>
  <c r="AY117" i="2"/>
  <c r="AV117" i="2"/>
  <c r="AO117" i="2"/>
  <c r="BJ117" i="2" s="1"/>
  <c r="AM117" i="2"/>
  <c r="AM138" i="2" s="1"/>
  <c r="AE117" i="2"/>
  <c r="Z117" i="2"/>
  <c r="Q117" i="2"/>
  <c r="I117" i="2"/>
  <c r="DH116" i="2"/>
  <c r="DG116" i="2"/>
  <c r="DF116" i="2"/>
  <c r="DD116" i="2"/>
  <c r="DC116" i="2"/>
  <c r="DB116" i="2"/>
  <c r="DA116" i="2"/>
  <c r="CZ116" i="2"/>
  <c r="CX116" i="2"/>
  <c r="CW116" i="2"/>
  <c r="CV116" i="2"/>
  <c r="CU116" i="2"/>
  <c r="CT116" i="2"/>
  <c r="CS116" i="2"/>
  <c r="CQ116" i="2"/>
  <c r="CP116" i="2"/>
  <c r="CD116" i="2"/>
  <c r="BW116" i="2"/>
  <c r="BQ116" i="2"/>
  <c r="BP116" i="2"/>
  <c r="BM116" i="2"/>
  <c r="BL116" i="2"/>
  <c r="BK116" i="2"/>
  <c r="BJ116" i="2"/>
  <c r="BI116" i="2"/>
  <c r="BG116" i="2"/>
  <c r="BF116" i="2"/>
  <c r="BE116" i="2"/>
  <c r="BD116" i="2"/>
  <c r="BC116" i="2"/>
  <c r="BB116" i="2"/>
  <c r="AZ116" i="2"/>
  <c r="AY116" i="2"/>
  <c r="AM116" i="2"/>
  <c r="AF116" i="2"/>
  <c r="Q116" i="2"/>
  <c r="J116" i="2"/>
  <c r="DG115" i="2"/>
  <c r="DF115" i="2"/>
  <c r="DD115" i="2"/>
  <c r="DC115" i="2"/>
  <c r="DB115" i="2"/>
  <c r="DA115" i="2"/>
  <c r="CZ115" i="2"/>
  <c r="CW115" i="2"/>
  <c r="CV115" i="2"/>
  <c r="CU115" i="2"/>
  <c r="CT115" i="2"/>
  <c r="CS115" i="2"/>
  <c r="CP115" i="2"/>
  <c r="CM115" i="2"/>
  <c r="CD115" i="2"/>
  <c r="CC115" i="2"/>
  <c r="CC133" i="2" s="1"/>
  <c r="BW115" i="2"/>
  <c r="CR115" i="2" s="1"/>
  <c r="BV115" i="2"/>
  <c r="BP115" i="2"/>
  <c r="BM115" i="2"/>
  <c r="BL115" i="2"/>
  <c r="BK115" i="2"/>
  <c r="BJ115" i="2"/>
  <c r="BI115" i="2"/>
  <c r="BF115" i="2"/>
  <c r="BE115" i="2"/>
  <c r="BD115" i="2"/>
  <c r="BC115" i="2"/>
  <c r="BB115" i="2"/>
  <c r="AY115" i="2"/>
  <c r="AV115" i="2"/>
  <c r="AM115" i="2"/>
  <c r="AL115" i="2"/>
  <c r="AL137" i="2" s="1"/>
  <c r="AF115" i="2"/>
  <c r="AE115" i="2"/>
  <c r="Z115" i="2"/>
  <c r="Q115" i="2"/>
  <c r="P115" i="2"/>
  <c r="P133" i="2" s="1"/>
  <c r="I115" i="2"/>
  <c r="DG114" i="2"/>
  <c r="DF114" i="2"/>
  <c r="DD114" i="2"/>
  <c r="DC114" i="2"/>
  <c r="DB114" i="2"/>
  <c r="DA114" i="2"/>
  <c r="CZ114" i="2"/>
  <c r="CX114" i="2"/>
  <c r="CT114" i="2"/>
  <c r="CS114" i="2"/>
  <c r="CP114" i="2"/>
  <c r="CM114" i="2"/>
  <c r="BV114" i="2"/>
  <c r="BP114" i="2"/>
  <c r="BM114" i="2"/>
  <c r="BL114" i="2"/>
  <c r="BK114" i="2"/>
  <c r="BJ114" i="2"/>
  <c r="BI114" i="2"/>
  <c r="BG114" i="2"/>
  <c r="BC114" i="2"/>
  <c r="BB114" i="2"/>
  <c r="AY114" i="2"/>
  <c r="AV114" i="2"/>
  <c r="AE114" i="2"/>
  <c r="Z114" i="2"/>
  <c r="Q114" i="2"/>
  <c r="BH114" i="2" s="1"/>
  <c r="O114" i="2"/>
  <c r="N114" i="2"/>
  <c r="CV114" i="2" s="1"/>
  <c r="M114" i="2"/>
  <c r="M137" i="2" s="1"/>
  <c r="J114" i="2"/>
  <c r="CR114" i="2" s="1"/>
  <c r="I114" i="2"/>
  <c r="DE113" i="2"/>
  <c r="CL113" i="2"/>
  <c r="CK113" i="2"/>
  <c r="CJ113" i="2"/>
  <c r="CG113" i="2"/>
  <c r="CF113" i="2"/>
  <c r="CE113" i="2"/>
  <c r="CD113" i="2"/>
  <c r="CC113" i="2"/>
  <c r="CB113" i="2"/>
  <c r="CA113" i="2"/>
  <c r="BZ113" i="2"/>
  <c r="BY113" i="2"/>
  <c r="BW113" i="2"/>
  <c r="BT113" i="2"/>
  <c r="BN113" i="2"/>
  <c r="AU113" i="2"/>
  <c r="AT113" i="2"/>
  <c r="AS113" i="2"/>
  <c r="AP113" i="2"/>
  <c r="AO113" i="2"/>
  <c r="AN113" i="2"/>
  <c r="AM113" i="2"/>
  <c r="AL113" i="2"/>
  <c r="AK113" i="2"/>
  <c r="AJ113" i="2"/>
  <c r="AI113" i="2"/>
  <c r="AH113" i="2"/>
  <c r="AF113" i="2"/>
  <c r="Y113" i="2"/>
  <c r="X113" i="2"/>
  <c r="W113" i="2"/>
  <c r="T113" i="2"/>
  <c r="S113" i="2"/>
  <c r="R113" i="2"/>
  <c r="Q113" i="2"/>
  <c r="P113" i="2"/>
  <c r="O113" i="2"/>
  <c r="N113" i="2"/>
  <c r="M113" i="2"/>
  <c r="L113" i="2"/>
  <c r="K113" i="2"/>
  <c r="J113" i="2"/>
  <c r="BV112" i="2"/>
  <c r="AE112" i="2"/>
  <c r="AZ112" i="2" s="1"/>
  <c r="AX112" i="2" s="1"/>
  <c r="G112" i="2"/>
  <c r="BV111" i="2"/>
  <c r="AE111" i="2"/>
  <c r="AB111" i="2" s="1"/>
  <c r="G111" i="2"/>
  <c r="BV110" i="2"/>
  <c r="AE110" i="2"/>
  <c r="G110" i="2"/>
  <c r="DH109" i="2"/>
  <c r="DG109" i="2"/>
  <c r="DF109" i="2"/>
  <c r="DD109" i="2"/>
  <c r="DB109" i="2"/>
  <c r="DA109" i="2"/>
  <c r="CZ109" i="2"/>
  <c r="CY109" i="2"/>
  <c r="CX109" i="2"/>
  <c r="CW109" i="2"/>
  <c r="CV109" i="2"/>
  <c r="CU109" i="2"/>
  <c r="CT109" i="2"/>
  <c r="CS109" i="2"/>
  <c r="CR109" i="2"/>
  <c r="CP109" i="2"/>
  <c r="CH109" i="2"/>
  <c r="BS109" i="2" s="1"/>
  <c r="BQ109" i="2"/>
  <c r="BP109" i="2"/>
  <c r="BM109" i="2"/>
  <c r="BK109" i="2"/>
  <c r="BJ109" i="2"/>
  <c r="BI109" i="2"/>
  <c r="BH109" i="2"/>
  <c r="BG109" i="2"/>
  <c r="BF109" i="2"/>
  <c r="BE109" i="2"/>
  <c r="BD109" i="2"/>
  <c r="BC109" i="2"/>
  <c r="BB109" i="2"/>
  <c r="BA109" i="2"/>
  <c r="AY109" i="2"/>
  <c r="AQ109" i="2"/>
  <c r="AB109" i="2" s="1"/>
  <c r="U109" i="2"/>
  <c r="I109" i="2"/>
  <c r="DH108" i="2"/>
  <c r="DG108" i="2"/>
  <c r="DF108" i="2"/>
  <c r="DC108" i="2"/>
  <c r="DB108" i="2"/>
  <c r="DA108" i="2"/>
  <c r="CZ108" i="2"/>
  <c r="CY108" i="2"/>
  <c r="CX108" i="2"/>
  <c r="CW108" i="2"/>
  <c r="CV108" i="2"/>
  <c r="CU108" i="2"/>
  <c r="CT108" i="2"/>
  <c r="CS108" i="2"/>
  <c r="CR108" i="2"/>
  <c r="CQ108" i="2"/>
  <c r="CP108" i="2"/>
  <c r="CI108" i="2"/>
  <c r="BS108" i="2" s="1"/>
  <c r="BQ108" i="2"/>
  <c r="BP108" i="2"/>
  <c r="BL108" i="2"/>
  <c r="BK108" i="2"/>
  <c r="BJ108" i="2"/>
  <c r="BI108" i="2"/>
  <c r="BH108" i="2"/>
  <c r="BG108" i="2"/>
  <c r="BF108" i="2"/>
  <c r="BE108" i="2"/>
  <c r="BD108" i="2"/>
  <c r="BC108" i="2"/>
  <c r="BB108" i="2"/>
  <c r="BA108" i="2"/>
  <c r="AZ108" i="2"/>
  <c r="AY108" i="2"/>
  <c r="AR108" i="2"/>
  <c r="AB108" i="2" s="1"/>
  <c r="V108" i="2"/>
  <c r="DD108" i="2" s="1"/>
  <c r="DH107" i="2"/>
  <c r="DG107" i="2"/>
  <c r="DF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CQ107" i="2"/>
  <c r="CI107" i="2"/>
  <c r="BU107" i="2"/>
  <c r="BQ107" i="2"/>
  <c r="BP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R107" i="2"/>
  <c r="AD107" i="2"/>
  <c r="AY107" i="2" s="1"/>
  <c r="V107" i="2"/>
  <c r="DH106" i="2"/>
  <c r="DG106" i="2"/>
  <c r="DF106" i="2"/>
  <c r="DC106" i="2"/>
  <c r="DB106" i="2"/>
  <c r="DA106" i="2"/>
  <c r="CZ106" i="2"/>
  <c r="CY106" i="2"/>
  <c r="CX106" i="2"/>
  <c r="CW106" i="2"/>
  <c r="CV106" i="2"/>
  <c r="CU106" i="2"/>
  <c r="CT106" i="2"/>
  <c r="CR106" i="2"/>
  <c r="CI106" i="2"/>
  <c r="BX106" i="2"/>
  <c r="BV106" i="2"/>
  <c r="CQ106" i="2" s="1"/>
  <c r="BU106" i="2"/>
  <c r="BQ106" i="2"/>
  <c r="BP106" i="2"/>
  <c r="BL106" i="2"/>
  <c r="BK106" i="2"/>
  <c r="BJ106" i="2"/>
  <c r="BI106" i="2"/>
  <c r="BH106" i="2"/>
  <c r="BG106" i="2"/>
  <c r="BF106" i="2"/>
  <c r="BE106" i="2"/>
  <c r="BD106" i="2"/>
  <c r="BC106" i="2"/>
  <c r="BA106" i="2"/>
  <c r="AR106" i="2"/>
  <c r="AG106" i="2"/>
  <c r="AG145" i="2" s="1"/>
  <c r="AE106" i="2"/>
  <c r="AD106" i="2"/>
  <c r="V106" i="2"/>
  <c r="H106" i="2"/>
  <c r="DG105" i="2"/>
  <c r="DF105" i="2"/>
  <c r="DC105" i="2"/>
  <c r="DB105" i="2"/>
  <c r="DA105" i="2"/>
  <c r="CZ105" i="2"/>
  <c r="CY105" i="2"/>
  <c r="CX105" i="2"/>
  <c r="CW105" i="2"/>
  <c r="CV105" i="2"/>
  <c r="CU105" i="2"/>
  <c r="CT105" i="2"/>
  <c r="CS105" i="2"/>
  <c r="CR105" i="2"/>
  <c r="CQ105" i="2"/>
  <c r="CP105" i="2"/>
  <c r="CM105" i="2"/>
  <c r="CI105" i="2"/>
  <c r="BP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Z105" i="2"/>
  <c r="AY105" i="2"/>
  <c r="AV105" i="2"/>
  <c r="AR105" i="2"/>
  <c r="Z105" i="2"/>
  <c r="V105" i="2"/>
  <c r="DG104" i="2"/>
  <c r="DF104" i="2"/>
  <c r="DC104" i="2"/>
  <c r="DB104" i="2"/>
  <c r="DA104" i="2"/>
  <c r="CZ104" i="2"/>
  <c r="CY104" i="2"/>
  <c r="CX104" i="2"/>
  <c r="CW104" i="2"/>
  <c r="CV104" i="2"/>
  <c r="CU104" i="2"/>
  <c r="CT104" i="2"/>
  <c r="CS104" i="2"/>
  <c r="CR104" i="2"/>
  <c r="CQ104" i="2"/>
  <c r="CP104" i="2"/>
  <c r="CM104" i="2"/>
  <c r="CI104" i="2"/>
  <c r="DD104" i="2" s="1"/>
  <c r="BP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Y104" i="2"/>
  <c r="AV104" i="2"/>
  <c r="AR104" i="2"/>
  <c r="Z104" i="2"/>
  <c r="DG103" i="2"/>
  <c r="DF103" i="2"/>
  <c r="DB103" i="2"/>
  <c r="DA103" i="2"/>
  <c r="CZ103" i="2"/>
  <c r="CY103" i="2"/>
  <c r="CX103" i="2"/>
  <c r="CW103" i="2"/>
  <c r="CV103" i="2"/>
  <c r="CU103" i="2"/>
  <c r="CT103" i="2"/>
  <c r="CS103" i="2"/>
  <c r="CR103" i="2"/>
  <c r="CQ103" i="2"/>
  <c r="CP103" i="2"/>
  <c r="CM103" i="2"/>
  <c r="CI103" i="2"/>
  <c r="CH103" i="2"/>
  <c r="DC103" i="2" s="1"/>
  <c r="BP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V103" i="2"/>
  <c r="AR103" i="2"/>
  <c r="AQ103" i="2"/>
  <c r="BL103" i="2" s="1"/>
  <c r="Z103" i="2"/>
  <c r="V103" i="2"/>
  <c r="DH102" i="2"/>
  <c r="DG102" i="2"/>
  <c r="DF102" i="2"/>
  <c r="DC102" i="2"/>
  <c r="DB102" i="2"/>
  <c r="DA102" i="2"/>
  <c r="CZ102" i="2"/>
  <c r="CY102" i="2"/>
  <c r="CX102" i="2"/>
  <c r="CW102" i="2"/>
  <c r="CV102" i="2"/>
  <c r="CU102" i="2"/>
  <c r="CT102" i="2"/>
  <c r="CS102" i="2"/>
  <c r="CR102" i="2"/>
  <c r="CQ102" i="2"/>
  <c r="CP102" i="2"/>
  <c r="CI102" i="2"/>
  <c r="BS102" i="2" s="1"/>
  <c r="BQ102" i="2"/>
  <c r="BP102" i="2"/>
  <c r="BO102" i="2"/>
  <c r="BO145" i="2" s="1"/>
  <c r="BL102" i="2"/>
  <c r="BK102" i="2"/>
  <c r="BJ102" i="2"/>
  <c r="BI102" i="2"/>
  <c r="BH102" i="2"/>
  <c r="BG102" i="2"/>
  <c r="BF102" i="2"/>
  <c r="BE102" i="2"/>
  <c r="BD102" i="2"/>
  <c r="BC102" i="2"/>
  <c r="BB102" i="2"/>
  <c r="BA102" i="2"/>
  <c r="AZ102" i="2"/>
  <c r="AY102" i="2"/>
  <c r="AR102" i="2"/>
  <c r="G102" i="2"/>
  <c r="DH101" i="2"/>
  <c r="DG101" i="2"/>
  <c r="DF101" i="2"/>
  <c r="DC101" i="2"/>
  <c r="DB101" i="2"/>
  <c r="DA101" i="2"/>
  <c r="CZ101" i="2"/>
  <c r="CY101" i="2"/>
  <c r="CX101" i="2"/>
  <c r="CW101" i="2"/>
  <c r="CV101" i="2"/>
  <c r="CU101" i="2"/>
  <c r="CT101" i="2"/>
  <c r="CS101" i="2"/>
  <c r="CR101" i="2"/>
  <c r="CQ101" i="2"/>
  <c r="CP101" i="2"/>
  <c r="BS101" i="2"/>
  <c r="BQ101" i="2"/>
  <c r="BP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/>
  <c r="AB101" i="2"/>
  <c r="V101" i="2"/>
  <c r="DD101" i="2" s="1"/>
  <c r="DH100" i="2"/>
  <c r="DG100" i="2"/>
  <c r="DF100" i="2"/>
  <c r="DB100" i="2"/>
  <c r="DA100" i="2"/>
  <c r="CZ100" i="2"/>
  <c r="CY100" i="2"/>
  <c r="CX100" i="2"/>
  <c r="CW100" i="2"/>
  <c r="CV100" i="2"/>
  <c r="CU100" i="2"/>
  <c r="CT100" i="2"/>
  <c r="CS100" i="2"/>
  <c r="CR100" i="2"/>
  <c r="CQ100" i="2"/>
  <c r="CP100" i="2"/>
  <c r="CI100" i="2"/>
  <c r="DD100" i="2" s="1"/>
  <c r="CH100" i="2"/>
  <c r="BQ100" i="2"/>
  <c r="BP100" i="2"/>
  <c r="BK100" i="2"/>
  <c r="BJ100" i="2"/>
  <c r="BI100" i="2"/>
  <c r="BH100" i="2"/>
  <c r="BG100" i="2"/>
  <c r="BF100" i="2"/>
  <c r="BE100" i="2"/>
  <c r="BD100" i="2"/>
  <c r="BC100" i="2"/>
  <c r="BB100" i="2"/>
  <c r="BA100" i="2"/>
  <c r="AZ100" i="2"/>
  <c r="AY100" i="2"/>
  <c r="AR100" i="2"/>
  <c r="BM100" i="2" s="1"/>
  <c r="AQ100" i="2"/>
  <c r="U100" i="2"/>
  <c r="DH99" i="2"/>
  <c r="DG99" i="2"/>
  <c r="DF99" i="2"/>
  <c r="DC99" i="2"/>
  <c r="DB99" i="2"/>
  <c r="DA99" i="2"/>
  <c r="CZ99" i="2"/>
  <c r="CY99" i="2"/>
  <c r="CX99" i="2"/>
  <c r="CW99" i="2"/>
  <c r="CV99" i="2"/>
  <c r="CU99" i="2"/>
  <c r="CT99" i="2"/>
  <c r="CS99" i="2"/>
  <c r="CR99" i="2"/>
  <c r="CQ99" i="2"/>
  <c r="CP99" i="2"/>
  <c r="CI99" i="2"/>
  <c r="DD99" i="2" s="1"/>
  <c r="BQ99" i="2"/>
  <c r="BP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R99" i="2"/>
  <c r="BM99" i="2" s="1"/>
  <c r="G99" i="2"/>
  <c r="DG98" i="2"/>
  <c r="DF98" i="2"/>
  <c r="DC98" i="2"/>
  <c r="DB98" i="2"/>
  <c r="DA98" i="2"/>
  <c r="CZ98" i="2"/>
  <c r="CY98" i="2"/>
  <c r="CX98" i="2"/>
  <c r="CW98" i="2"/>
  <c r="CV98" i="2"/>
  <c r="CU98" i="2"/>
  <c r="CT98" i="2"/>
  <c r="CS98" i="2"/>
  <c r="CR98" i="2"/>
  <c r="CQ98" i="2"/>
  <c r="CP98" i="2"/>
  <c r="CM98" i="2"/>
  <c r="BS98" i="2" s="1"/>
  <c r="BP98" i="2"/>
  <c r="BL98" i="2"/>
  <c r="BK98" i="2"/>
  <c r="BJ98" i="2"/>
  <c r="BI98" i="2"/>
  <c r="BH98" i="2"/>
  <c r="BG98" i="2"/>
  <c r="BF98" i="2"/>
  <c r="BE98" i="2"/>
  <c r="BD98" i="2"/>
  <c r="BC98" i="2"/>
  <c r="BB98" i="2"/>
  <c r="BA98" i="2"/>
  <c r="AZ98" i="2"/>
  <c r="AY98" i="2"/>
  <c r="AV98" i="2"/>
  <c r="AR98" i="2"/>
  <c r="Z98" i="2"/>
  <c r="V98" i="2"/>
  <c r="DD98" i="2" s="1"/>
  <c r="DH97" i="2"/>
  <c r="DG97" i="2"/>
  <c r="DF97" i="2"/>
  <c r="DC97" i="2"/>
  <c r="DB97" i="2"/>
  <c r="DA97" i="2"/>
  <c r="CZ97" i="2"/>
  <c r="CY97" i="2"/>
  <c r="CX97" i="2"/>
  <c r="CW97" i="2"/>
  <c r="CV97" i="2"/>
  <c r="CU97" i="2"/>
  <c r="CT97" i="2"/>
  <c r="CS97" i="2"/>
  <c r="CR97" i="2"/>
  <c r="CQ97" i="2"/>
  <c r="CP97" i="2"/>
  <c r="CI97" i="2"/>
  <c r="BQ97" i="2"/>
  <c r="BP97" i="2"/>
  <c r="BL97" i="2"/>
  <c r="BK97" i="2"/>
  <c r="BJ97" i="2"/>
  <c r="BI97" i="2"/>
  <c r="BH97" i="2"/>
  <c r="BG97" i="2"/>
  <c r="BF97" i="2"/>
  <c r="BE97" i="2"/>
  <c r="BD97" i="2"/>
  <c r="BC97" i="2"/>
  <c r="BB97" i="2"/>
  <c r="BA97" i="2"/>
  <c r="AZ97" i="2"/>
  <c r="AY97" i="2"/>
  <c r="AR97" i="2"/>
  <c r="AB97" i="2" s="1"/>
  <c r="V97" i="2"/>
  <c r="DH96" i="2"/>
  <c r="DG96" i="2"/>
  <c r="DF96" i="2"/>
  <c r="DC96" i="2"/>
  <c r="DB96" i="2"/>
  <c r="DA96" i="2"/>
  <c r="CZ96" i="2"/>
  <c r="CY96" i="2"/>
  <c r="CX96" i="2"/>
  <c r="CW96" i="2"/>
  <c r="CV96" i="2"/>
  <c r="CU96" i="2"/>
  <c r="CT96" i="2"/>
  <c r="CS96" i="2"/>
  <c r="CR96" i="2"/>
  <c r="CQ96" i="2"/>
  <c r="CP96" i="2"/>
  <c r="CI96" i="2"/>
  <c r="BS96" i="2" s="1"/>
  <c r="BQ96" i="2"/>
  <c r="BP96" i="2"/>
  <c r="BL96" i="2"/>
  <c r="BK96" i="2"/>
  <c r="BJ96" i="2"/>
  <c r="BI96" i="2"/>
  <c r="BH96" i="2"/>
  <c r="BG96" i="2"/>
  <c r="BF96" i="2"/>
  <c r="BE96" i="2"/>
  <c r="BD96" i="2"/>
  <c r="BC96" i="2"/>
  <c r="BB96" i="2"/>
  <c r="BA96" i="2"/>
  <c r="AZ96" i="2"/>
  <c r="AY96" i="2"/>
  <c r="AR96" i="2"/>
  <c r="V96" i="2"/>
  <c r="DH95" i="2"/>
  <c r="DG95" i="2"/>
  <c r="DF95" i="2"/>
  <c r="DC95" i="2"/>
  <c r="DB95" i="2"/>
  <c r="DA95" i="2"/>
  <c r="CZ95" i="2"/>
  <c r="CY95" i="2"/>
  <c r="CX95" i="2"/>
  <c r="CW95" i="2"/>
  <c r="CV95" i="2"/>
  <c r="CU95" i="2"/>
  <c r="CT95" i="2"/>
  <c r="CS95" i="2"/>
  <c r="CR95" i="2"/>
  <c r="CQ95" i="2"/>
  <c r="CP95" i="2"/>
  <c r="CI95" i="2"/>
  <c r="BQ95" i="2"/>
  <c r="BP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Y95" i="2"/>
  <c r="AR95" i="2"/>
  <c r="V95" i="2"/>
  <c r="DE93" i="2"/>
  <c r="CL93" i="2"/>
  <c r="CK93" i="2"/>
  <c r="CI93" i="2"/>
  <c r="CH93" i="2"/>
  <c r="CG93" i="2"/>
  <c r="CD93" i="2"/>
  <c r="CC93" i="2"/>
  <c r="CB93" i="2"/>
  <c r="CA93" i="2"/>
  <c r="BZ93" i="2"/>
  <c r="BW93" i="2"/>
  <c r="BV93" i="2"/>
  <c r="BU93" i="2"/>
  <c r="BT93" i="2"/>
  <c r="BN93" i="2"/>
  <c r="AU93" i="2"/>
  <c r="AT93" i="2"/>
  <c r="AS93" i="2"/>
  <c r="AR93" i="2"/>
  <c r="AQ93" i="2"/>
  <c r="AP93" i="2"/>
  <c r="AM93" i="2"/>
  <c r="AL93" i="2"/>
  <c r="AK93" i="2"/>
  <c r="AJ93" i="2"/>
  <c r="AI93" i="2"/>
  <c r="AF93" i="2"/>
  <c r="AE93" i="2"/>
  <c r="AD93" i="2"/>
  <c r="Y93" i="2"/>
  <c r="X93" i="2"/>
  <c r="W93" i="2"/>
  <c r="V93" i="2"/>
  <c r="U93" i="2"/>
  <c r="T93" i="2"/>
  <c r="Q93" i="2"/>
  <c r="P93" i="2"/>
  <c r="O93" i="2"/>
  <c r="N93" i="2"/>
  <c r="M93" i="2"/>
  <c r="J93" i="2"/>
  <c r="I93" i="2"/>
  <c r="H93" i="2"/>
  <c r="DG92" i="2"/>
  <c r="DF92" i="2"/>
  <c r="DD92" i="2"/>
  <c r="DC92" i="2"/>
  <c r="DB92" i="2"/>
  <c r="DA92" i="2"/>
  <c r="CZ92" i="2"/>
  <c r="CY92" i="2"/>
  <c r="CX92" i="2"/>
  <c r="CW92" i="2"/>
  <c r="CV92" i="2"/>
  <c r="CU92" i="2"/>
  <c r="CT92" i="2"/>
  <c r="CS92" i="2"/>
  <c r="CR92" i="2"/>
  <c r="CQ92" i="2"/>
  <c r="CP92" i="2"/>
  <c r="CM92" i="2"/>
  <c r="BS92" i="2" s="1"/>
  <c r="BP92" i="2"/>
  <c r="BO92" i="2"/>
  <c r="BM92" i="2"/>
  <c r="BL92" i="2"/>
  <c r="BK92" i="2"/>
  <c r="BJ92" i="2"/>
  <c r="BI92" i="2"/>
  <c r="BH92" i="2"/>
  <c r="BG92" i="2"/>
  <c r="BF92" i="2"/>
  <c r="BE92" i="2"/>
  <c r="BD92" i="2"/>
  <c r="BC92" i="2"/>
  <c r="BB92" i="2"/>
  <c r="BA92" i="2"/>
  <c r="AZ92" i="2"/>
  <c r="AY92" i="2"/>
  <c r="AV92" i="2"/>
  <c r="AB92" i="2" s="1"/>
  <c r="Z92" i="2"/>
  <c r="G92" i="2" s="1"/>
  <c r="DH91" i="2"/>
  <c r="DG91" i="2"/>
  <c r="DF91" i="2"/>
  <c r="DD91" i="2"/>
  <c r="DC91" i="2"/>
  <c r="DB91" i="2"/>
  <c r="CZ91" i="2"/>
  <c r="CY91" i="2"/>
  <c r="CX91" i="2"/>
  <c r="CW91" i="2"/>
  <c r="CV91" i="2"/>
  <c r="CU91" i="2"/>
  <c r="CT91" i="2"/>
  <c r="CR91" i="2"/>
  <c r="CQ91" i="2"/>
  <c r="CP91" i="2"/>
  <c r="CF91" i="2"/>
  <c r="BX91" i="2"/>
  <c r="BQ91" i="2"/>
  <c r="BP91" i="2"/>
  <c r="BO91" i="2"/>
  <c r="BM91" i="2"/>
  <c r="BL91" i="2"/>
  <c r="BK91" i="2"/>
  <c r="BI91" i="2"/>
  <c r="BH91" i="2"/>
  <c r="BG91" i="2"/>
  <c r="BF91" i="2"/>
  <c r="BE91" i="2"/>
  <c r="BD91" i="2"/>
  <c r="BC91" i="2"/>
  <c r="BA91" i="2"/>
  <c r="AZ91" i="2"/>
  <c r="AY91" i="2"/>
  <c r="AO91" i="2"/>
  <c r="AG91" i="2"/>
  <c r="S91" i="2"/>
  <c r="G91" i="2" s="1"/>
  <c r="DG90" i="2"/>
  <c r="DF90" i="2"/>
  <c r="DD90" i="2"/>
  <c r="DC90" i="2"/>
  <c r="DB90" i="2"/>
  <c r="DA90" i="2"/>
  <c r="CZ90" i="2"/>
  <c r="CY90" i="2"/>
  <c r="CX90" i="2"/>
  <c r="CW90" i="2"/>
  <c r="CV90" i="2"/>
  <c r="CU90" i="2"/>
  <c r="CT90" i="2"/>
  <c r="CR90" i="2"/>
  <c r="CQ90" i="2"/>
  <c r="CP90" i="2"/>
  <c r="CM90" i="2"/>
  <c r="BX90" i="2"/>
  <c r="BP90" i="2"/>
  <c r="BM90" i="2"/>
  <c r="BL90" i="2"/>
  <c r="BK90" i="2"/>
  <c r="BJ90" i="2"/>
  <c r="BI90" i="2"/>
  <c r="BH90" i="2"/>
  <c r="BG90" i="2"/>
  <c r="BF90" i="2"/>
  <c r="BE90" i="2"/>
  <c r="BD90" i="2"/>
  <c r="BC90" i="2"/>
  <c r="BA90" i="2"/>
  <c r="AZ90" i="2"/>
  <c r="AY90" i="2"/>
  <c r="AV90" i="2"/>
  <c r="AG90" i="2"/>
  <c r="BB90" i="2" s="1"/>
  <c r="Z90" i="2"/>
  <c r="DH89" i="2"/>
  <c r="DG89" i="2"/>
  <c r="DF89" i="2"/>
  <c r="DD89" i="2"/>
  <c r="DC89" i="2"/>
  <c r="DB89" i="2"/>
  <c r="DA89" i="2"/>
  <c r="CZ89" i="2"/>
  <c r="CY89" i="2"/>
  <c r="CX89" i="2"/>
  <c r="CW89" i="2"/>
  <c r="CV89" i="2"/>
  <c r="CU89" i="2"/>
  <c r="CT89" i="2"/>
  <c r="CR89" i="2"/>
  <c r="CQ89" i="2"/>
  <c r="CP89" i="2"/>
  <c r="BX89" i="2"/>
  <c r="BQ89" i="2"/>
  <c r="BP89" i="2"/>
  <c r="BM89" i="2"/>
  <c r="BL89" i="2"/>
  <c r="BK89" i="2"/>
  <c r="BJ89" i="2"/>
  <c r="BI89" i="2"/>
  <c r="BH89" i="2"/>
  <c r="BG89" i="2"/>
  <c r="BF89" i="2"/>
  <c r="BE89" i="2"/>
  <c r="BD89" i="2"/>
  <c r="BC89" i="2"/>
  <c r="BA89" i="2"/>
  <c r="AZ89" i="2"/>
  <c r="AY89" i="2"/>
  <c r="AG89" i="2"/>
  <c r="AB89" i="2" s="1"/>
  <c r="G89" i="2"/>
  <c r="DH88" i="2"/>
  <c r="DG88" i="2"/>
  <c r="DF88" i="2"/>
  <c r="DD88" i="2"/>
  <c r="DC88" i="2"/>
  <c r="DB88" i="2"/>
  <c r="DA88" i="2"/>
  <c r="CZ88" i="2"/>
  <c r="CY88" i="2"/>
  <c r="CX88" i="2"/>
  <c r="CW88" i="2"/>
  <c r="CV88" i="2"/>
  <c r="CU88" i="2"/>
  <c r="CT88" i="2"/>
  <c r="CR88" i="2"/>
  <c r="CQ88" i="2"/>
  <c r="CP88" i="2"/>
  <c r="BX88" i="2"/>
  <c r="BS88" i="2" s="1"/>
  <c r="BQ88" i="2"/>
  <c r="BP88" i="2"/>
  <c r="BM88" i="2"/>
  <c r="BL88" i="2"/>
  <c r="BK88" i="2"/>
  <c r="BJ88" i="2"/>
  <c r="BI88" i="2"/>
  <c r="BH88" i="2"/>
  <c r="BG88" i="2"/>
  <c r="BF88" i="2"/>
  <c r="BE88" i="2"/>
  <c r="BD88" i="2"/>
  <c r="BC88" i="2"/>
  <c r="BA88" i="2"/>
  <c r="AZ88" i="2"/>
  <c r="AY88" i="2"/>
  <c r="AG88" i="2"/>
  <c r="AB88" i="2" s="1"/>
  <c r="G88" i="2"/>
  <c r="DH87" i="2"/>
  <c r="DG87" i="2"/>
  <c r="DF87" i="2"/>
  <c r="DD87" i="2"/>
  <c r="DC87" i="2"/>
  <c r="DB87" i="2"/>
  <c r="DA87" i="2"/>
  <c r="CZ87" i="2"/>
  <c r="CY87" i="2"/>
  <c r="CX87" i="2"/>
  <c r="CW87" i="2"/>
  <c r="CV87" i="2"/>
  <c r="CU87" i="2"/>
  <c r="CT87" i="2"/>
  <c r="CS87" i="2"/>
  <c r="CR87" i="2"/>
  <c r="CQ87" i="2"/>
  <c r="CP87" i="2"/>
  <c r="BS87" i="2"/>
  <c r="BQ87" i="2"/>
  <c r="BP87" i="2"/>
  <c r="BO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BA87" i="2"/>
  <c r="AZ87" i="2"/>
  <c r="AY87" i="2"/>
  <c r="AB87" i="2"/>
  <c r="G87" i="2"/>
  <c r="DH86" i="2"/>
  <c r="DG86" i="2"/>
  <c r="DF86" i="2"/>
  <c r="DD86" i="2"/>
  <c r="DC86" i="2"/>
  <c r="DB86" i="2"/>
  <c r="DA86" i="2"/>
  <c r="CZ86" i="2"/>
  <c r="CY86" i="2"/>
  <c r="CX86" i="2"/>
  <c r="CW86" i="2"/>
  <c r="CV86" i="2"/>
  <c r="CU86" i="2"/>
  <c r="CT86" i="2"/>
  <c r="CR86" i="2"/>
  <c r="CQ86" i="2"/>
  <c r="CP86" i="2"/>
  <c r="BX86" i="2"/>
  <c r="BS86" i="2" s="1"/>
  <c r="BQ86" i="2"/>
  <c r="BP86" i="2"/>
  <c r="BM86" i="2"/>
  <c r="BL86" i="2"/>
  <c r="BK86" i="2"/>
  <c r="BJ86" i="2"/>
  <c r="BI86" i="2"/>
  <c r="BH86" i="2"/>
  <c r="BG86" i="2"/>
  <c r="BF86" i="2"/>
  <c r="BE86" i="2"/>
  <c r="BD86" i="2"/>
  <c r="BC86" i="2"/>
  <c r="BA86" i="2"/>
  <c r="AZ86" i="2"/>
  <c r="AY86" i="2"/>
  <c r="AG86" i="2"/>
  <c r="G86" i="2"/>
  <c r="DH85" i="2"/>
  <c r="DG85" i="2"/>
  <c r="DF85" i="2"/>
  <c r="DD85" i="2"/>
  <c r="DC85" i="2"/>
  <c r="DB85" i="2"/>
  <c r="CZ85" i="2"/>
  <c r="CY85" i="2"/>
  <c r="CX85" i="2"/>
  <c r="CW85" i="2"/>
  <c r="CV85" i="2"/>
  <c r="CU85" i="2"/>
  <c r="CT85" i="2"/>
  <c r="CS85" i="2"/>
  <c r="CR85" i="2"/>
  <c r="CQ85" i="2"/>
  <c r="CP85" i="2"/>
  <c r="CF85" i="2"/>
  <c r="BQ85" i="2"/>
  <c r="BP85" i="2"/>
  <c r="BO85" i="2"/>
  <c r="BM85" i="2"/>
  <c r="BL85" i="2"/>
  <c r="BK85" i="2"/>
  <c r="BI85" i="2"/>
  <c r="BH85" i="2"/>
  <c r="BG85" i="2"/>
  <c r="BF85" i="2"/>
  <c r="BE85" i="2"/>
  <c r="BD85" i="2"/>
  <c r="BC85" i="2"/>
  <c r="BA85" i="2"/>
  <c r="AZ85" i="2"/>
  <c r="AY85" i="2"/>
  <c r="AO85" i="2"/>
  <c r="BJ85" i="2" s="1"/>
  <c r="AG85" i="2"/>
  <c r="G85" i="2"/>
  <c r="DH84" i="2"/>
  <c r="DG84" i="2"/>
  <c r="DF84" i="2"/>
  <c r="DD84" i="2"/>
  <c r="DC84" i="2"/>
  <c r="DB84" i="2"/>
  <c r="CZ84" i="2"/>
  <c r="CY84" i="2"/>
  <c r="CX84" i="2"/>
  <c r="CW84" i="2"/>
  <c r="CV84" i="2"/>
  <c r="CU84" i="2"/>
  <c r="CT84" i="2"/>
  <c r="CR84" i="2"/>
  <c r="CQ84" i="2"/>
  <c r="CP84" i="2"/>
  <c r="CF84" i="2"/>
  <c r="BX84" i="2"/>
  <c r="BQ84" i="2"/>
  <c r="BP84" i="2"/>
  <c r="BM84" i="2"/>
  <c r="BL84" i="2"/>
  <c r="BK84" i="2"/>
  <c r="BI84" i="2"/>
  <c r="BH84" i="2"/>
  <c r="BG84" i="2"/>
  <c r="BF84" i="2"/>
  <c r="BE84" i="2"/>
  <c r="BD84" i="2"/>
  <c r="BC84" i="2"/>
  <c r="BA84" i="2"/>
  <c r="AZ84" i="2"/>
  <c r="AY84" i="2"/>
  <c r="AO84" i="2"/>
  <c r="AG84" i="2"/>
  <c r="S84" i="2"/>
  <c r="DH83" i="2"/>
  <c r="DG83" i="2"/>
  <c r="DF83" i="2"/>
  <c r="DD83" i="2"/>
  <c r="DC83" i="2"/>
  <c r="DB83" i="2"/>
  <c r="CZ83" i="2"/>
  <c r="CY83" i="2"/>
  <c r="CX83" i="2"/>
  <c r="CW83" i="2"/>
  <c r="CV83" i="2"/>
  <c r="CU83" i="2"/>
  <c r="CT83" i="2"/>
  <c r="CR83" i="2"/>
  <c r="CQ83" i="2"/>
  <c r="CP83" i="2"/>
  <c r="CF83" i="2"/>
  <c r="DA83" i="2" s="1"/>
  <c r="BX83" i="2"/>
  <c r="CS83" i="2" s="1"/>
  <c r="BQ83" i="2"/>
  <c r="BP83" i="2"/>
  <c r="BM83" i="2"/>
  <c r="BL83" i="2"/>
  <c r="BK83" i="2"/>
  <c r="BI83" i="2"/>
  <c r="BH83" i="2"/>
  <c r="BG83" i="2"/>
  <c r="BF83" i="2"/>
  <c r="BE83" i="2"/>
  <c r="BD83" i="2"/>
  <c r="BC83" i="2"/>
  <c r="BA83" i="2"/>
  <c r="AZ83" i="2"/>
  <c r="AY83" i="2"/>
  <c r="AO83" i="2"/>
  <c r="BJ83" i="2" s="1"/>
  <c r="AG83" i="2"/>
  <c r="G83" i="2"/>
  <c r="DH82" i="2"/>
  <c r="DG82" i="2"/>
  <c r="DF82" i="2"/>
  <c r="DD82" i="2"/>
  <c r="DC82" i="2"/>
  <c r="DB82" i="2"/>
  <c r="CZ82" i="2"/>
  <c r="CY82" i="2"/>
  <c r="CX82" i="2"/>
  <c r="CW82" i="2"/>
  <c r="CV82" i="2"/>
  <c r="CU82" i="2"/>
  <c r="CT82" i="2"/>
  <c r="CS82" i="2"/>
  <c r="CR82" i="2"/>
  <c r="CQ82" i="2"/>
  <c r="CP82" i="2"/>
  <c r="CF82" i="2"/>
  <c r="BS82" i="2" s="1"/>
  <c r="BQ82" i="2"/>
  <c r="BP82" i="2"/>
  <c r="BM82" i="2"/>
  <c r="BL82" i="2"/>
  <c r="BK82" i="2"/>
  <c r="BI82" i="2"/>
  <c r="BH82" i="2"/>
  <c r="BG82" i="2"/>
  <c r="BF82" i="2"/>
  <c r="BE82" i="2"/>
  <c r="BD82" i="2"/>
  <c r="BC82" i="2"/>
  <c r="BA82" i="2"/>
  <c r="AZ82" i="2"/>
  <c r="AY82" i="2"/>
  <c r="AO82" i="2"/>
  <c r="AG82" i="2"/>
  <c r="S82" i="2"/>
  <c r="G82" i="2" s="1"/>
  <c r="DH81" i="2"/>
  <c r="DG81" i="2"/>
  <c r="DF81" i="2"/>
  <c r="DD81" i="2"/>
  <c r="DC81" i="2"/>
  <c r="DB81" i="2"/>
  <c r="DA81" i="2"/>
  <c r="CZ81" i="2"/>
  <c r="CY81" i="2"/>
  <c r="CX81" i="2"/>
  <c r="CW81" i="2"/>
  <c r="CV81" i="2"/>
  <c r="CU81" i="2"/>
  <c r="CT81" i="2"/>
  <c r="CR81" i="2"/>
  <c r="CQ81" i="2"/>
  <c r="CP81" i="2"/>
  <c r="BX81" i="2"/>
  <c r="CS81" i="2" s="1"/>
  <c r="BQ81" i="2"/>
  <c r="BP81" i="2"/>
  <c r="BM81" i="2"/>
  <c r="BL81" i="2"/>
  <c r="BK81" i="2"/>
  <c r="BJ81" i="2"/>
  <c r="BI81" i="2"/>
  <c r="BH81" i="2"/>
  <c r="BG81" i="2"/>
  <c r="BF81" i="2"/>
  <c r="BE81" i="2"/>
  <c r="BD81" i="2"/>
  <c r="BC81" i="2"/>
  <c r="BA81" i="2"/>
  <c r="AZ81" i="2"/>
  <c r="AY81" i="2"/>
  <c r="AG81" i="2"/>
  <c r="BB81" i="2" s="1"/>
  <c r="G81" i="2"/>
  <c r="DH80" i="2"/>
  <c r="DG80" i="2"/>
  <c r="DF80" i="2"/>
  <c r="DD80" i="2"/>
  <c r="DC80" i="2"/>
  <c r="DB80" i="2"/>
  <c r="DA80" i="2"/>
  <c r="CZ80" i="2"/>
  <c r="CY80" i="2"/>
  <c r="CX80" i="2"/>
  <c r="CW80" i="2"/>
  <c r="CV80" i="2"/>
  <c r="CU80" i="2"/>
  <c r="CT80" i="2"/>
  <c r="CR80" i="2"/>
  <c r="CQ80" i="2"/>
  <c r="CP80" i="2"/>
  <c r="BX80" i="2"/>
  <c r="BS80" i="2" s="1"/>
  <c r="BQ80" i="2"/>
  <c r="BP80" i="2"/>
  <c r="BM80" i="2"/>
  <c r="BL80" i="2"/>
  <c r="BK80" i="2"/>
  <c r="BJ80" i="2"/>
  <c r="BI80" i="2"/>
  <c r="BH80" i="2"/>
  <c r="BG80" i="2"/>
  <c r="BF80" i="2"/>
  <c r="BE80" i="2"/>
  <c r="BD80" i="2"/>
  <c r="BC80" i="2"/>
  <c r="BA80" i="2"/>
  <c r="AZ80" i="2"/>
  <c r="AY80" i="2"/>
  <c r="AG80" i="2"/>
  <c r="BB80" i="2" s="1"/>
  <c r="G80" i="2"/>
  <c r="DH79" i="2"/>
  <c r="DD79" i="2"/>
  <c r="DC79" i="2"/>
  <c r="DB79" i="2"/>
  <c r="DA79" i="2"/>
  <c r="CZ79" i="2"/>
  <c r="CY79" i="2"/>
  <c r="CR79" i="2"/>
  <c r="CQ79" i="2"/>
  <c r="CP79" i="2"/>
  <c r="BX79" i="2"/>
  <c r="CS79" i="2" s="1"/>
  <c r="BQ79" i="2"/>
  <c r="BP79" i="2"/>
  <c r="BM79" i="2"/>
  <c r="BL79" i="2"/>
  <c r="BK79" i="2"/>
  <c r="BJ79" i="2"/>
  <c r="BI79" i="2"/>
  <c r="BH79" i="2"/>
  <c r="BA79" i="2"/>
  <c r="AZ79" i="2"/>
  <c r="AY79" i="2"/>
  <c r="AG79" i="2"/>
  <c r="AB79" i="2" s="1"/>
  <c r="G79" i="2"/>
  <c r="DH78" i="2"/>
  <c r="DD78" i="2"/>
  <c r="DC78" i="2"/>
  <c r="DB78" i="2"/>
  <c r="DA78" i="2"/>
  <c r="CZ78" i="2"/>
  <c r="CY78" i="2"/>
  <c r="CR78" i="2"/>
  <c r="CQ78" i="2"/>
  <c r="CP78" i="2"/>
  <c r="BX78" i="2"/>
  <c r="BS78" i="2" s="1"/>
  <c r="BQ78" i="2"/>
  <c r="BP78" i="2"/>
  <c r="BM78" i="2"/>
  <c r="BL78" i="2"/>
  <c r="BK78" i="2"/>
  <c r="BJ78" i="2"/>
  <c r="BI78" i="2"/>
  <c r="BH78" i="2"/>
  <c r="BA78" i="2"/>
  <c r="AZ78" i="2"/>
  <c r="AY78" i="2"/>
  <c r="AG78" i="2"/>
  <c r="AB78" i="2" s="1"/>
  <c r="K78" i="2"/>
  <c r="DH77" i="2"/>
  <c r="DD77" i="2"/>
  <c r="DC77" i="2"/>
  <c r="DB77" i="2"/>
  <c r="DA77" i="2"/>
  <c r="CZ77" i="2"/>
  <c r="CY77" i="2"/>
  <c r="CR77" i="2"/>
  <c r="CQ77" i="2"/>
  <c r="CP77" i="2"/>
  <c r="BS77" i="2"/>
  <c r="BQ77" i="2"/>
  <c r="BP77" i="2"/>
  <c r="BM77" i="2"/>
  <c r="BL77" i="2"/>
  <c r="BJ77" i="2"/>
  <c r="BI77" i="2"/>
  <c r="BH77" i="2"/>
  <c r="BA77" i="2"/>
  <c r="AZ77" i="2"/>
  <c r="AY77" i="2"/>
  <c r="AB77" i="2"/>
  <c r="K77" i="2"/>
  <c r="BB77" i="2" s="1"/>
  <c r="DH76" i="2"/>
  <c r="DD76" i="2"/>
  <c r="DC76" i="2"/>
  <c r="DB76" i="2"/>
  <c r="DA76" i="2"/>
  <c r="CZ76" i="2"/>
  <c r="CY76" i="2"/>
  <c r="CR76" i="2"/>
  <c r="CQ76" i="2"/>
  <c r="CP76" i="2"/>
  <c r="BS76" i="2"/>
  <c r="BQ76" i="2"/>
  <c r="BP76" i="2"/>
  <c r="BM76" i="2"/>
  <c r="BL76" i="2"/>
  <c r="BJ76" i="2"/>
  <c r="BI76" i="2"/>
  <c r="BH76" i="2"/>
  <c r="BA76" i="2"/>
  <c r="AZ76" i="2"/>
  <c r="AY76" i="2"/>
  <c r="AB76" i="2"/>
  <c r="K76" i="2"/>
  <c r="BB76" i="2" s="1"/>
  <c r="DG75" i="2"/>
  <c r="DF75" i="2"/>
  <c r="DD75" i="2"/>
  <c r="DC75" i="2"/>
  <c r="DB75" i="2"/>
  <c r="DA75" i="2"/>
  <c r="CZ75" i="2"/>
  <c r="CY75" i="2"/>
  <c r="CX75" i="2"/>
  <c r="CW75" i="2"/>
  <c r="CV75" i="2"/>
  <c r="CU75" i="2"/>
  <c r="CT75" i="2"/>
  <c r="CS75" i="2"/>
  <c r="CR75" i="2"/>
  <c r="CQ75" i="2"/>
  <c r="CP75" i="2"/>
  <c r="CM75" i="2"/>
  <c r="BS75" i="2" s="1"/>
  <c r="BP75" i="2"/>
  <c r="BM75" i="2"/>
  <c r="BL75" i="2"/>
  <c r="BK75" i="2"/>
  <c r="BJ75" i="2"/>
  <c r="BI75" i="2"/>
  <c r="BH75" i="2"/>
  <c r="BG75" i="2"/>
  <c r="BF75" i="2"/>
  <c r="BE75" i="2"/>
  <c r="BD75" i="2"/>
  <c r="BC75" i="2"/>
  <c r="BB75" i="2"/>
  <c r="BA75" i="2"/>
  <c r="AZ75" i="2"/>
  <c r="AY75" i="2"/>
  <c r="AV75" i="2"/>
  <c r="AB75" i="2" s="1"/>
  <c r="Z75" i="2"/>
  <c r="G75" i="2" s="1"/>
  <c r="DH74" i="2"/>
  <c r="DG74" i="2"/>
  <c r="DF74" i="2"/>
  <c r="DD74" i="2"/>
  <c r="DC74" i="2"/>
  <c r="DB74" i="2"/>
  <c r="DA74" i="2"/>
  <c r="CZ74" i="2"/>
  <c r="CY74" i="2"/>
  <c r="CX74" i="2"/>
  <c r="CW74" i="2"/>
  <c r="CV74" i="2"/>
  <c r="CU74" i="2"/>
  <c r="CT74" i="2"/>
  <c r="CR74" i="2"/>
  <c r="CQ74" i="2"/>
  <c r="CP74" i="2"/>
  <c r="BX74" i="2"/>
  <c r="BS74" i="2" s="1"/>
  <c r="BQ74" i="2"/>
  <c r="BP74" i="2"/>
  <c r="BM74" i="2"/>
  <c r="BL74" i="2"/>
  <c r="BK74" i="2"/>
  <c r="BJ74" i="2"/>
  <c r="BI74" i="2"/>
  <c r="BH74" i="2"/>
  <c r="BG74" i="2"/>
  <c r="BF74" i="2"/>
  <c r="BE74" i="2"/>
  <c r="BD74" i="2"/>
  <c r="BC74" i="2"/>
  <c r="BA74" i="2"/>
  <c r="AZ74" i="2"/>
  <c r="AY74" i="2"/>
  <c r="AG74" i="2"/>
  <c r="AB74" i="2" s="1"/>
  <c r="K74" i="2"/>
  <c r="G74" i="2" s="1"/>
  <c r="DH73" i="2"/>
  <c r="DG73" i="2"/>
  <c r="DF73" i="2"/>
  <c r="DD73" i="2"/>
  <c r="DC73" i="2"/>
  <c r="DB73" i="2"/>
  <c r="DA73" i="2"/>
  <c r="CZ73" i="2"/>
  <c r="CY73" i="2"/>
  <c r="CX73" i="2"/>
  <c r="CW73" i="2"/>
  <c r="CV73" i="2"/>
  <c r="CU73" i="2"/>
  <c r="CT73" i="2"/>
  <c r="CR73" i="2"/>
  <c r="CQ73" i="2"/>
  <c r="CP73" i="2"/>
  <c r="BX73" i="2"/>
  <c r="BQ73" i="2"/>
  <c r="BP73" i="2"/>
  <c r="BM73" i="2"/>
  <c r="BL73" i="2"/>
  <c r="BK73" i="2"/>
  <c r="BJ73" i="2"/>
  <c r="BI73" i="2"/>
  <c r="BH73" i="2"/>
  <c r="BG73" i="2"/>
  <c r="BF73" i="2"/>
  <c r="BE73" i="2"/>
  <c r="BD73" i="2"/>
  <c r="BC73" i="2"/>
  <c r="BA73" i="2"/>
  <c r="AZ73" i="2"/>
  <c r="AY73" i="2"/>
  <c r="AG73" i="2"/>
  <c r="AB73" i="2" s="1"/>
  <c r="K73" i="2"/>
  <c r="BB73" i="2" s="1"/>
  <c r="DH72" i="2"/>
  <c r="DG72" i="2"/>
  <c r="DF72" i="2"/>
  <c r="DD72" i="2"/>
  <c r="DC72" i="2"/>
  <c r="DB72" i="2"/>
  <c r="DA72" i="2"/>
  <c r="CZ72" i="2"/>
  <c r="CY72" i="2"/>
  <c r="CX72" i="2"/>
  <c r="CW72" i="2"/>
  <c r="CV72" i="2"/>
  <c r="CU72" i="2"/>
  <c r="CT72" i="2"/>
  <c r="CR72" i="2"/>
  <c r="CQ72" i="2"/>
  <c r="CP72" i="2"/>
  <c r="BX72" i="2"/>
  <c r="CS72" i="2" s="1"/>
  <c r="BQ72" i="2"/>
  <c r="BP72" i="2"/>
  <c r="BO72" i="2"/>
  <c r="BM72" i="2"/>
  <c r="BL72" i="2"/>
  <c r="BK72" i="2"/>
  <c r="BJ72" i="2"/>
  <c r="BI72" i="2"/>
  <c r="BH72" i="2"/>
  <c r="BG72" i="2"/>
  <c r="BF72" i="2"/>
  <c r="BE72" i="2"/>
  <c r="BD72" i="2"/>
  <c r="BC72" i="2"/>
  <c r="BA72" i="2"/>
  <c r="AZ72" i="2"/>
  <c r="AY72" i="2"/>
  <c r="AG72" i="2"/>
  <c r="BB72" i="2" s="1"/>
  <c r="G72" i="2"/>
  <c r="DH71" i="2"/>
  <c r="DG71" i="2"/>
  <c r="DF71" i="2"/>
  <c r="DD71" i="2"/>
  <c r="DC71" i="2"/>
  <c r="DB71" i="2"/>
  <c r="DA71" i="2"/>
  <c r="CZ71" i="2"/>
  <c r="CY71" i="2"/>
  <c r="CX71" i="2"/>
  <c r="CW71" i="2"/>
  <c r="CV71" i="2"/>
  <c r="CU71" i="2"/>
  <c r="CT71" i="2"/>
  <c r="CR71" i="2"/>
  <c r="CQ71" i="2"/>
  <c r="CP71" i="2"/>
  <c r="BX71" i="2"/>
  <c r="CS71" i="2" s="1"/>
  <c r="BQ71" i="2"/>
  <c r="BP71" i="2"/>
  <c r="BO71" i="2"/>
  <c r="BM71" i="2"/>
  <c r="BL71" i="2"/>
  <c r="BK71" i="2"/>
  <c r="BJ71" i="2"/>
  <c r="BI71" i="2"/>
  <c r="BH71" i="2"/>
  <c r="BG71" i="2"/>
  <c r="BF71" i="2"/>
  <c r="BE71" i="2"/>
  <c r="BD71" i="2"/>
  <c r="BC71" i="2"/>
  <c r="BA71" i="2"/>
  <c r="AZ71" i="2"/>
  <c r="AY71" i="2"/>
  <c r="AG71" i="2"/>
  <c r="G71" i="2"/>
  <c r="DG70" i="2"/>
  <c r="DF70" i="2"/>
  <c r="DD70" i="2"/>
  <c r="DC70" i="2"/>
  <c r="DB70" i="2"/>
  <c r="CZ70" i="2"/>
  <c r="CY70" i="2"/>
  <c r="CX70" i="2"/>
  <c r="CW70" i="2"/>
  <c r="CV70" i="2"/>
  <c r="CU70" i="2"/>
  <c r="CT70" i="2"/>
  <c r="CS70" i="2"/>
  <c r="CR70" i="2"/>
  <c r="CQ70" i="2"/>
  <c r="CP70" i="2"/>
  <c r="CM70" i="2"/>
  <c r="CF70" i="2"/>
  <c r="DA70" i="2" s="1"/>
  <c r="BP70" i="2"/>
  <c r="BM70" i="2"/>
  <c r="BL70" i="2"/>
  <c r="BK70" i="2"/>
  <c r="BI70" i="2"/>
  <c r="BH70" i="2"/>
  <c r="BG70" i="2"/>
  <c r="BF70" i="2"/>
  <c r="BE70" i="2"/>
  <c r="BD70" i="2"/>
  <c r="BC70" i="2"/>
  <c r="BB70" i="2"/>
  <c r="BA70" i="2"/>
  <c r="AZ70" i="2"/>
  <c r="AY70" i="2"/>
  <c r="AV70" i="2"/>
  <c r="AO70" i="2"/>
  <c r="BJ70" i="2" s="1"/>
  <c r="Z70" i="2"/>
  <c r="G70" i="2" s="1"/>
  <c r="DG69" i="2"/>
  <c r="DF69" i="2"/>
  <c r="DD69" i="2"/>
  <c r="DC69" i="2"/>
  <c r="DB69" i="2"/>
  <c r="DA69" i="2"/>
  <c r="CZ69" i="2"/>
  <c r="CY69" i="2"/>
  <c r="CX69" i="2"/>
  <c r="CW69" i="2"/>
  <c r="CV69" i="2"/>
  <c r="CU69" i="2"/>
  <c r="CT69" i="2"/>
  <c r="CS69" i="2"/>
  <c r="CR69" i="2"/>
  <c r="CQ69" i="2"/>
  <c r="CP69" i="2"/>
  <c r="CM69" i="2"/>
  <c r="BS69" i="2" s="1"/>
  <c r="BP69" i="2"/>
  <c r="BO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BA69" i="2"/>
  <c r="AZ69" i="2"/>
  <c r="AY69" i="2"/>
  <c r="AV69" i="2"/>
  <c r="AB69" i="2" s="1"/>
  <c r="Z69" i="2"/>
  <c r="DG68" i="2"/>
  <c r="DF68" i="2"/>
  <c r="DD68" i="2"/>
  <c r="DC68" i="2"/>
  <c r="DB68" i="2"/>
  <c r="DA68" i="2"/>
  <c r="CZ68" i="2"/>
  <c r="CY68" i="2"/>
  <c r="CX68" i="2"/>
  <c r="CW68" i="2"/>
  <c r="CV68" i="2"/>
  <c r="CU68" i="2"/>
  <c r="CT68" i="2"/>
  <c r="CS68" i="2"/>
  <c r="CR68" i="2"/>
  <c r="CQ68" i="2"/>
  <c r="CP68" i="2"/>
  <c r="CM68" i="2"/>
  <c r="BP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BA68" i="2"/>
  <c r="AZ68" i="2"/>
  <c r="AY68" i="2"/>
  <c r="AV68" i="2"/>
  <c r="AB68" i="2" s="1"/>
  <c r="Z68" i="2"/>
  <c r="G68" i="2"/>
  <c r="DG67" i="2"/>
  <c r="DF67" i="2"/>
  <c r="DD67" i="2"/>
  <c r="DC67" i="2"/>
  <c r="DB67" i="2"/>
  <c r="DA67" i="2"/>
  <c r="CZ67" i="2"/>
  <c r="CY67" i="2"/>
  <c r="CX67" i="2"/>
  <c r="CW67" i="2"/>
  <c r="CV67" i="2"/>
  <c r="CU67" i="2"/>
  <c r="CT67" i="2"/>
  <c r="CS67" i="2"/>
  <c r="CR67" i="2"/>
  <c r="CQ67" i="2"/>
  <c r="CP67" i="2"/>
  <c r="CM67" i="2"/>
  <c r="BS67" i="2" s="1"/>
  <c r="BP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Z67" i="2"/>
  <c r="AY67" i="2"/>
  <c r="AV67" i="2"/>
  <c r="AB67" i="2" s="1"/>
  <c r="Z67" i="2"/>
  <c r="DH66" i="2"/>
  <c r="DG66" i="2"/>
  <c r="DF66" i="2"/>
  <c r="DD66" i="2"/>
  <c r="DC66" i="2"/>
  <c r="DB66" i="2"/>
  <c r="DA66" i="2"/>
  <c r="CY66" i="2"/>
  <c r="CX66" i="2"/>
  <c r="CW66" i="2"/>
  <c r="CV66" i="2"/>
  <c r="CU66" i="2"/>
  <c r="CT66" i="2"/>
  <c r="CR66" i="2"/>
  <c r="CQ66" i="2"/>
  <c r="CP66" i="2"/>
  <c r="CE66" i="2"/>
  <c r="BX66" i="2"/>
  <c r="BQ66" i="2"/>
  <c r="BP66" i="2"/>
  <c r="BM66" i="2"/>
  <c r="BL66" i="2"/>
  <c r="BK66" i="2"/>
  <c r="BJ66" i="2"/>
  <c r="BH66" i="2"/>
  <c r="BG66" i="2"/>
  <c r="BF66" i="2"/>
  <c r="BE66" i="2"/>
  <c r="BD66" i="2"/>
  <c r="BC66" i="2"/>
  <c r="BA66" i="2"/>
  <c r="AZ66" i="2"/>
  <c r="AY66" i="2"/>
  <c r="AN66" i="2"/>
  <c r="AG66" i="2"/>
  <c r="R66" i="2"/>
  <c r="K66" i="2"/>
  <c r="DH65" i="2"/>
  <c r="DG65" i="2"/>
  <c r="DF65" i="2"/>
  <c r="DD65" i="2"/>
  <c r="DC65" i="2"/>
  <c r="DB65" i="2"/>
  <c r="CZ65" i="2"/>
  <c r="CY65" i="2"/>
  <c r="CX65" i="2"/>
  <c r="CW65" i="2"/>
  <c r="CV65" i="2"/>
  <c r="CU65" i="2"/>
  <c r="CT65" i="2"/>
  <c r="CR65" i="2"/>
  <c r="CQ65" i="2"/>
  <c r="CP65" i="2"/>
  <c r="CF65" i="2"/>
  <c r="BX65" i="2"/>
  <c r="BQ65" i="2"/>
  <c r="BP65" i="2"/>
  <c r="BM65" i="2"/>
  <c r="BL65" i="2"/>
  <c r="BK65" i="2"/>
  <c r="BI65" i="2"/>
  <c r="BH65" i="2"/>
  <c r="BG65" i="2"/>
  <c r="BF65" i="2"/>
  <c r="BE65" i="2"/>
  <c r="BD65" i="2"/>
  <c r="BC65" i="2"/>
  <c r="BA65" i="2"/>
  <c r="AZ65" i="2"/>
  <c r="AY65" i="2"/>
  <c r="AO65" i="2"/>
  <c r="AG65" i="2"/>
  <c r="S65" i="2"/>
  <c r="K65" i="2"/>
  <c r="G65" i="2" s="1"/>
  <c r="DH64" i="2"/>
  <c r="DG64" i="2"/>
  <c r="DF64" i="2"/>
  <c r="DD64" i="2"/>
  <c r="DC64" i="2"/>
  <c r="DB64" i="2"/>
  <c r="CZ64" i="2"/>
  <c r="CY64" i="2"/>
  <c r="CX64" i="2"/>
  <c r="CW64" i="2"/>
  <c r="CV64" i="2"/>
  <c r="CU64" i="2"/>
  <c r="CT64" i="2"/>
  <c r="CS64" i="2"/>
  <c r="CR64" i="2"/>
  <c r="CQ64" i="2"/>
  <c r="CP64" i="2"/>
  <c r="CF64" i="2"/>
  <c r="BS64" i="2" s="1"/>
  <c r="BQ64" i="2"/>
  <c r="BP64" i="2"/>
  <c r="BO64" i="2"/>
  <c r="BM64" i="2"/>
  <c r="BL64" i="2"/>
  <c r="BK64" i="2"/>
  <c r="BI64" i="2"/>
  <c r="BH64" i="2"/>
  <c r="BG64" i="2"/>
  <c r="BF64" i="2"/>
  <c r="BE64" i="2"/>
  <c r="BD64" i="2"/>
  <c r="BC64" i="2"/>
  <c r="BB64" i="2"/>
  <c r="BA64" i="2"/>
  <c r="AZ64" i="2"/>
  <c r="AY64" i="2"/>
  <c r="AO64" i="2"/>
  <c r="G64" i="2"/>
  <c r="DG63" i="2"/>
  <c r="DF63" i="2"/>
  <c r="DD63" i="2"/>
  <c r="DC63" i="2"/>
  <c r="DB63" i="2"/>
  <c r="DA63" i="2"/>
  <c r="CZ63" i="2"/>
  <c r="CY63" i="2"/>
  <c r="CX63" i="2"/>
  <c r="CW63" i="2"/>
  <c r="CV63" i="2"/>
  <c r="CU63" i="2"/>
  <c r="CT63" i="2"/>
  <c r="CS63" i="2"/>
  <c r="CR63" i="2"/>
  <c r="CQ63" i="2"/>
  <c r="CP63" i="2"/>
  <c r="CM63" i="2"/>
  <c r="BP63" i="2"/>
  <c r="BM63" i="2"/>
  <c r="BL63" i="2"/>
  <c r="BK63" i="2"/>
  <c r="BJ63" i="2"/>
  <c r="BI63" i="2"/>
  <c r="BH63" i="2"/>
  <c r="BG63" i="2"/>
  <c r="BF63" i="2"/>
  <c r="BE63" i="2"/>
  <c r="BD63" i="2"/>
  <c r="BC63" i="2"/>
  <c r="BB63" i="2"/>
  <c r="BA63" i="2"/>
  <c r="AZ63" i="2"/>
  <c r="AY63" i="2"/>
  <c r="AV63" i="2"/>
  <c r="BQ63" i="2" s="1"/>
  <c r="G63" i="2"/>
  <c r="DG62" i="2"/>
  <c r="DF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R62" i="2"/>
  <c r="CQ62" i="2"/>
  <c r="CP62" i="2"/>
  <c r="CM62" i="2"/>
  <c r="BS62" i="2" s="1"/>
  <c r="BP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Y62" i="2"/>
  <c r="AV62" i="2"/>
  <c r="AB62" i="2" s="1"/>
  <c r="Z62" i="2"/>
  <c r="G62" i="2" s="1"/>
  <c r="DG61" i="2"/>
  <c r="DF61" i="2"/>
  <c r="DD61" i="2"/>
  <c r="DC61" i="2"/>
  <c r="DB61" i="2"/>
  <c r="DA61" i="2"/>
  <c r="CZ61" i="2"/>
  <c r="CY61" i="2"/>
  <c r="CX61" i="2"/>
  <c r="CW61" i="2"/>
  <c r="CV61" i="2"/>
  <c r="CU61" i="2"/>
  <c r="CS61" i="2"/>
  <c r="CR61" i="2"/>
  <c r="CQ61" i="2"/>
  <c r="CP61" i="2"/>
  <c r="CM61" i="2"/>
  <c r="BY61" i="2"/>
  <c r="BP61" i="2"/>
  <c r="BM61" i="2"/>
  <c r="BL61" i="2"/>
  <c r="BK61" i="2"/>
  <c r="BJ61" i="2"/>
  <c r="BI61" i="2"/>
  <c r="BH61" i="2"/>
  <c r="BG61" i="2"/>
  <c r="BF61" i="2"/>
  <c r="BE61" i="2"/>
  <c r="BD61" i="2"/>
  <c r="BB61" i="2"/>
  <c r="BA61" i="2"/>
  <c r="AZ61" i="2"/>
  <c r="AY61" i="2"/>
  <c r="AV61" i="2"/>
  <c r="AH61" i="2"/>
  <c r="Z61" i="2"/>
  <c r="L61" i="2"/>
  <c r="CK60" i="2"/>
  <c r="CI60" i="2"/>
  <c r="CG60" i="2"/>
  <c r="CD60" i="2"/>
  <c r="CC60" i="2"/>
  <c r="CB60" i="2"/>
  <c r="CA60" i="2"/>
  <c r="BZ60" i="2"/>
  <c r="BX60" i="2"/>
  <c r="BW60" i="2"/>
  <c r="BU60" i="2"/>
  <c r="BT60" i="2"/>
  <c r="AT60" i="2"/>
  <c r="AR60" i="2"/>
  <c r="AP60" i="2"/>
  <c r="AM60" i="2"/>
  <c r="AL60" i="2"/>
  <c r="AK60" i="2"/>
  <c r="AJ60" i="2"/>
  <c r="AI60" i="2"/>
  <c r="AG60" i="2"/>
  <c r="AF60" i="2"/>
  <c r="AD60" i="2"/>
  <c r="X60" i="2"/>
  <c r="V60" i="2"/>
  <c r="T60" i="2"/>
  <c r="S60" i="2"/>
  <c r="Q60" i="2"/>
  <c r="P60" i="2"/>
  <c r="O60" i="2"/>
  <c r="N60" i="2"/>
  <c r="M60" i="2"/>
  <c r="K60" i="2"/>
  <c r="J60" i="2"/>
  <c r="H60" i="2"/>
  <c r="DG59" i="2"/>
  <c r="DF59" i="2"/>
  <c r="DD59" i="2"/>
  <c r="DC59" i="2"/>
  <c r="DB59" i="2"/>
  <c r="DA59" i="2"/>
  <c r="CZ59" i="2"/>
  <c r="CY59" i="2"/>
  <c r="CX59" i="2"/>
  <c r="CW59" i="2"/>
  <c r="CV59" i="2"/>
  <c r="CU59" i="2"/>
  <c r="CT59" i="2"/>
  <c r="CS59" i="2"/>
  <c r="CR59" i="2"/>
  <c r="CQ59" i="2"/>
  <c r="CP59" i="2"/>
  <c r="CM59" i="2"/>
  <c r="BP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V59" i="2"/>
  <c r="Z59" i="2"/>
  <c r="G59" i="2" s="1"/>
  <c r="DH58" i="2"/>
  <c r="DG58" i="2"/>
  <c r="DF58" i="2"/>
  <c r="DD58" i="2"/>
  <c r="DB58" i="2"/>
  <c r="DA58" i="2"/>
  <c r="CZ58" i="2"/>
  <c r="CY58" i="2"/>
  <c r="CX58" i="2"/>
  <c r="CW58" i="2"/>
  <c r="CV58" i="2"/>
  <c r="CU58" i="2"/>
  <c r="CS58" i="2"/>
  <c r="CR58" i="2"/>
  <c r="CP58" i="2"/>
  <c r="CH58" i="2"/>
  <c r="DC58" i="2" s="1"/>
  <c r="BY58" i="2"/>
  <c r="BY140" i="2" s="1"/>
  <c r="BV58" i="2"/>
  <c r="CQ58" i="2" s="1"/>
  <c r="BQ58" i="2"/>
  <c r="BP58" i="2"/>
  <c r="BM58" i="2"/>
  <c r="BK58" i="2"/>
  <c r="BJ58" i="2"/>
  <c r="BI58" i="2"/>
  <c r="BH58" i="2"/>
  <c r="BG58" i="2"/>
  <c r="BF58" i="2"/>
  <c r="BE58" i="2"/>
  <c r="BD58" i="2"/>
  <c r="BB58" i="2"/>
  <c r="BA58" i="2"/>
  <c r="AY58" i="2"/>
  <c r="AQ58" i="2"/>
  <c r="BL58" i="2" s="1"/>
  <c r="AH58" i="2"/>
  <c r="AH140" i="2" s="1"/>
  <c r="AE58" i="2"/>
  <c r="AZ58" i="2" s="1"/>
  <c r="L58" i="2"/>
  <c r="DH57" i="2"/>
  <c r="DG57" i="2"/>
  <c r="DF57" i="2"/>
  <c r="DD57" i="2"/>
  <c r="DC57" i="2"/>
  <c r="DB57" i="2"/>
  <c r="DA57" i="2"/>
  <c r="CZ57" i="2"/>
  <c r="CY57" i="2"/>
  <c r="CX57" i="2"/>
  <c r="CW57" i="2"/>
  <c r="CV57" i="2"/>
  <c r="CU57" i="2"/>
  <c r="CT57" i="2"/>
  <c r="CS57" i="2"/>
  <c r="CR57" i="2"/>
  <c r="CQ57" i="2"/>
  <c r="CP57" i="2"/>
  <c r="BS57" i="2"/>
  <c r="BQ57" i="2"/>
  <c r="BP57" i="2"/>
  <c r="BM57" i="2"/>
  <c r="BK57" i="2"/>
  <c r="BJ57" i="2"/>
  <c r="BI57" i="2"/>
  <c r="BH57" i="2"/>
  <c r="BG57" i="2"/>
  <c r="BF57" i="2"/>
  <c r="BE57" i="2"/>
  <c r="BD57" i="2"/>
  <c r="BC57" i="2"/>
  <c r="BB57" i="2"/>
  <c r="BA57" i="2"/>
  <c r="AZ57" i="2"/>
  <c r="AY57" i="2"/>
  <c r="AQ57" i="2"/>
  <c r="G57" i="2"/>
  <c r="DH56" i="2"/>
  <c r="DG56" i="2"/>
  <c r="DF56" i="2"/>
  <c r="DD56" i="2"/>
  <c r="DB56" i="2"/>
  <c r="DA56" i="2"/>
  <c r="CZ56" i="2"/>
  <c r="CY56" i="2"/>
  <c r="CX56" i="2"/>
  <c r="CW56" i="2"/>
  <c r="CV56" i="2"/>
  <c r="CU56" i="2"/>
  <c r="CT56" i="2"/>
  <c r="CS56" i="2"/>
  <c r="CR56" i="2"/>
  <c r="CP56" i="2"/>
  <c r="CH56" i="2"/>
  <c r="DC56" i="2" s="1"/>
  <c r="BV56" i="2"/>
  <c r="BQ56" i="2"/>
  <c r="BP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Y56" i="2"/>
  <c r="AE56" i="2"/>
  <c r="AB56" i="2" s="1"/>
  <c r="I56" i="2"/>
  <c r="DH55" i="2"/>
  <c r="DG55" i="2"/>
  <c r="DF55" i="2"/>
  <c r="DD55" i="2"/>
  <c r="DB55" i="2"/>
  <c r="DA55" i="2"/>
  <c r="CZ55" i="2"/>
  <c r="CY55" i="2"/>
  <c r="CX55" i="2"/>
  <c r="CW55" i="2"/>
  <c r="CV55" i="2"/>
  <c r="CU55" i="2"/>
  <c r="CT55" i="2"/>
  <c r="CS55" i="2"/>
  <c r="CR55" i="2"/>
  <c r="CQ55" i="2"/>
  <c r="CP55" i="2"/>
  <c r="CH55" i="2"/>
  <c r="DC55" i="2" s="1"/>
  <c r="BQ55" i="2"/>
  <c r="BP55" i="2"/>
  <c r="BM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Q55" i="2"/>
  <c r="BL55" i="2" s="1"/>
  <c r="AB55" i="2"/>
  <c r="G55" i="2"/>
  <c r="DG54" i="2"/>
  <c r="DF54" i="2"/>
  <c r="DD54" i="2"/>
  <c r="DC54" i="2"/>
  <c r="DB54" i="2"/>
  <c r="DA54" i="2"/>
  <c r="CZ54" i="2"/>
  <c r="CY54" i="2"/>
  <c r="CX54" i="2"/>
  <c r="CW54" i="2"/>
  <c r="CV54" i="2"/>
  <c r="CU54" i="2"/>
  <c r="CT54" i="2"/>
  <c r="CS54" i="2"/>
  <c r="CR54" i="2"/>
  <c r="CP54" i="2"/>
  <c r="CM54" i="2"/>
  <c r="BV54" i="2"/>
  <c r="CQ54" i="2" s="1"/>
  <c r="BP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BA54" i="2"/>
  <c r="AY54" i="2"/>
  <c r="AV54" i="2"/>
  <c r="AE54" i="2"/>
  <c r="AZ54" i="2" s="1"/>
  <c r="Z54" i="2"/>
  <c r="G54" i="2" s="1"/>
  <c r="DG53" i="2"/>
  <c r="DF53" i="2"/>
  <c r="DD53" i="2"/>
  <c r="DC53" i="2"/>
  <c r="DB53" i="2"/>
  <c r="DA53" i="2"/>
  <c r="CZ53" i="2"/>
  <c r="CY53" i="2"/>
  <c r="CX53" i="2"/>
  <c r="CW53" i="2"/>
  <c r="CV53" i="2"/>
  <c r="CU53" i="2"/>
  <c r="CT53" i="2"/>
  <c r="CS53" i="2"/>
  <c r="CR53" i="2"/>
  <c r="CQ53" i="2"/>
  <c r="CP53" i="2"/>
  <c r="CM53" i="2"/>
  <c r="BS53" i="2" s="1"/>
  <c r="BP53" i="2"/>
  <c r="BM53" i="2"/>
  <c r="BL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V53" i="2"/>
  <c r="AB53" i="2" s="1"/>
  <c r="Z53" i="2"/>
  <c r="DH52" i="2"/>
  <c r="DG52" i="2"/>
  <c r="DF52" i="2"/>
  <c r="DD52" i="2"/>
  <c r="DB52" i="2"/>
  <c r="DA52" i="2"/>
  <c r="CZ52" i="2"/>
  <c r="CY52" i="2"/>
  <c r="CX52" i="2"/>
  <c r="CW52" i="2"/>
  <c r="CV52" i="2"/>
  <c r="CU52" i="2"/>
  <c r="CT52" i="2"/>
  <c r="CS52" i="2"/>
  <c r="CR52" i="2"/>
  <c r="CP52" i="2"/>
  <c r="CH52" i="2"/>
  <c r="BV52" i="2"/>
  <c r="BQ52" i="2"/>
  <c r="BP52" i="2"/>
  <c r="BM52" i="2"/>
  <c r="BK52" i="2"/>
  <c r="BJ52" i="2"/>
  <c r="BI52" i="2"/>
  <c r="BH52" i="2"/>
  <c r="BG52" i="2"/>
  <c r="BF52" i="2"/>
  <c r="BE52" i="2"/>
  <c r="BD52" i="2"/>
  <c r="BC52" i="2"/>
  <c r="BB52" i="2"/>
  <c r="BA52" i="2"/>
  <c r="AY52" i="2"/>
  <c r="AQ52" i="2"/>
  <c r="AE52" i="2"/>
  <c r="U52" i="2"/>
  <c r="I52" i="2"/>
  <c r="DH51" i="2"/>
  <c r="DG51" i="2"/>
  <c r="DF51" i="2"/>
  <c r="DD51" i="2"/>
  <c r="DC51" i="2"/>
  <c r="DB51" i="2"/>
  <c r="DA51" i="2"/>
  <c r="CZ51" i="2"/>
  <c r="CY51" i="2"/>
  <c r="CX51" i="2"/>
  <c r="CW51" i="2"/>
  <c r="CV51" i="2"/>
  <c r="CU51" i="2"/>
  <c r="CT51" i="2"/>
  <c r="CS51" i="2"/>
  <c r="CR51" i="2"/>
  <c r="CP51" i="2"/>
  <c r="BV51" i="2"/>
  <c r="CQ51" i="2" s="1"/>
  <c r="BQ51" i="2"/>
  <c r="BP51" i="2"/>
  <c r="BM51" i="2"/>
  <c r="BL51" i="2"/>
  <c r="BJ51" i="2"/>
  <c r="BI51" i="2"/>
  <c r="BH51" i="2"/>
  <c r="BG51" i="2"/>
  <c r="BF51" i="2"/>
  <c r="BE51" i="2"/>
  <c r="BD51" i="2"/>
  <c r="BC51" i="2"/>
  <c r="BB51" i="2"/>
  <c r="BA51" i="2"/>
  <c r="AY51" i="2"/>
  <c r="AE51" i="2"/>
  <c r="AZ51" i="2" s="1"/>
  <c r="AB51" i="2"/>
  <c r="G51" i="2"/>
  <c r="DH50" i="2"/>
  <c r="DF50" i="2"/>
  <c r="DD50" i="2"/>
  <c r="DC50" i="2"/>
  <c r="DB50" i="2"/>
  <c r="DA50" i="2"/>
  <c r="CZ50" i="2"/>
  <c r="CY50" i="2"/>
  <c r="CX50" i="2"/>
  <c r="CW50" i="2"/>
  <c r="CV50" i="2"/>
  <c r="CU50" i="2"/>
  <c r="CT50" i="2"/>
  <c r="CS50" i="2"/>
  <c r="CR50" i="2"/>
  <c r="CP50" i="2"/>
  <c r="CL50" i="2"/>
  <c r="DG50" i="2" s="1"/>
  <c r="BV50" i="2"/>
  <c r="BQ50" i="2"/>
  <c r="BM50" i="2"/>
  <c r="BL50" i="2"/>
  <c r="BK50" i="2"/>
  <c r="BJ50" i="2"/>
  <c r="BI50" i="2"/>
  <c r="BH50" i="2"/>
  <c r="BG50" i="2"/>
  <c r="BF50" i="2"/>
  <c r="BE50" i="2"/>
  <c r="BD50" i="2"/>
  <c r="BC50" i="2"/>
  <c r="BB50" i="2"/>
  <c r="BA50" i="2"/>
  <c r="AY50" i="2"/>
  <c r="AU50" i="2"/>
  <c r="BP50" i="2" s="1"/>
  <c r="AE50" i="2"/>
  <c r="AZ50" i="2" s="1"/>
  <c r="G50" i="2"/>
  <c r="DG49" i="2"/>
  <c r="DF49" i="2"/>
  <c r="DD49" i="2"/>
  <c r="DB49" i="2"/>
  <c r="DA49" i="2"/>
  <c r="CZ49" i="2"/>
  <c r="CY49" i="2"/>
  <c r="CX49" i="2"/>
  <c r="CW49" i="2"/>
  <c r="CV49" i="2"/>
  <c r="CU49" i="2"/>
  <c r="CT49" i="2"/>
  <c r="CS49" i="2"/>
  <c r="CR49" i="2"/>
  <c r="CQ49" i="2"/>
  <c r="CP49" i="2"/>
  <c r="CH49" i="2"/>
  <c r="DC49" i="2" s="1"/>
  <c r="BP49" i="2"/>
  <c r="BM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Q49" i="2"/>
  <c r="Z49" i="2"/>
  <c r="BQ49" i="2" s="1"/>
  <c r="DH48" i="2"/>
  <c r="DG48" i="2"/>
  <c r="DF48" i="2"/>
  <c r="DD48" i="2"/>
  <c r="DB48" i="2"/>
  <c r="DA48" i="2"/>
  <c r="CZ48" i="2"/>
  <c r="CY48" i="2"/>
  <c r="CX48" i="2"/>
  <c r="CW48" i="2"/>
  <c r="CV48" i="2"/>
  <c r="CU48" i="2"/>
  <c r="CT48" i="2"/>
  <c r="CS48" i="2"/>
  <c r="CR48" i="2"/>
  <c r="CQ48" i="2"/>
  <c r="CP48" i="2"/>
  <c r="CH48" i="2"/>
  <c r="BQ48" i="2"/>
  <c r="BP48" i="2"/>
  <c r="BM48" i="2"/>
  <c r="BJ48" i="2"/>
  <c r="BI48" i="2"/>
  <c r="BH48" i="2"/>
  <c r="BG48" i="2"/>
  <c r="BF48" i="2"/>
  <c r="BE48" i="2"/>
  <c r="BD48" i="2"/>
  <c r="BC48" i="2"/>
  <c r="BB48" i="2"/>
  <c r="BA48" i="2"/>
  <c r="AZ48" i="2"/>
  <c r="AY48" i="2"/>
  <c r="AQ48" i="2"/>
  <c r="AB48" i="2" s="1"/>
  <c r="G48" i="2"/>
  <c r="DH47" i="2"/>
  <c r="DG47" i="2"/>
  <c r="DF47" i="2"/>
  <c r="DD47" i="2"/>
  <c r="DB47" i="2"/>
  <c r="DA47" i="2"/>
  <c r="CZ47" i="2"/>
  <c r="CY47" i="2"/>
  <c r="CX47" i="2"/>
  <c r="CW47" i="2"/>
  <c r="CV47" i="2"/>
  <c r="CU47" i="2"/>
  <c r="CT47" i="2"/>
  <c r="CS47" i="2"/>
  <c r="CR47" i="2"/>
  <c r="CQ47" i="2"/>
  <c r="CP47" i="2"/>
  <c r="CH47" i="2"/>
  <c r="BS47" i="2" s="1"/>
  <c r="BQ47" i="2"/>
  <c r="BP47" i="2"/>
  <c r="BM47" i="2"/>
  <c r="BK47" i="2"/>
  <c r="BJ47" i="2"/>
  <c r="BI47" i="2"/>
  <c r="BH47" i="2"/>
  <c r="BG47" i="2"/>
  <c r="BF47" i="2"/>
  <c r="BE47" i="2"/>
  <c r="BD47" i="2"/>
  <c r="BC47" i="2"/>
  <c r="BB47" i="2"/>
  <c r="BA47" i="2"/>
  <c r="AZ47" i="2"/>
  <c r="AY47" i="2"/>
  <c r="AQ47" i="2"/>
  <c r="AB47" i="2" s="1"/>
  <c r="G47" i="2"/>
  <c r="DH46" i="2"/>
  <c r="DG46" i="2"/>
  <c r="DF46" i="2"/>
  <c r="DD46" i="2"/>
  <c r="DB46" i="2"/>
  <c r="DA46" i="2"/>
  <c r="CZ46" i="2"/>
  <c r="CY46" i="2"/>
  <c r="CX46" i="2"/>
  <c r="CW46" i="2"/>
  <c r="CV46" i="2"/>
  <c r="CU46" i="2"/>
  <c r="CT46" i="2"/>
  <c r="CS46" i="2"/>
  <c r="CR46" i="2"/>
  <c r="CQ46" i="2"/>
  <c r="CP46" i="2"/>
  <c r="CH46" i="2"/>
  <c r="DC46" i="2" s="1"/>
  <c r="BQ46" i="2"/>
  <c r="BP46" i="2"/>
  <c r="BO46" i="2"/>
  <c r="BM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Y46" i="2"/>
  <c r="AQ46" i="2"/>
  <c r="AB46" i="2" s="1"/>
  <c r="G46" i="2"/>
  <c r="DH45" i="2"/>
  <c r="DG45" i="2"/>
  <c r="DF45" i="2"/>
  <c r="DD45" i="2"/>
  <c r="DB45" i="2"/>
  <c r="DA45" i="2"/>
  <c r="CZ45" i="2"/>
  <c r="CY45" i="2"/>
  <c r="CX45" i="2"/>
  <c r="CW45" i="2"/>
  <c r="CV45" i="2"/>
  <c r="CU45" i="2"/>
  <c r="CT45" i="2"/>
  <c r="CS45" i="2"/>
  <c r="CR45" i="2"/>
  <c r="CQ45" i="2"/>
  <c r="CP45" i="2"/>
  <c r="CH45" i="2"/>
  <c r="BS45" i="2" s="1"/>
  <c r="BQ45" i="2"/>
  <c r="BP45" i="2"/>
  <c r="BM45" i="2"/>
  <c r="BJ45" i="2"/>
  <c r="BI45" i="2"/>
  <c r="BH45" i="2"/>
  <c r="BG45" i="2"/>
  <c r="BF45" i="2"/>
  <c r="BE45" i="2"/>
  <c r="BD45" i="2"/>
  <c r="BC45" i="2"/>
  <c r="BB45" i="2"/>
  <c r="BA45" i="2"/>
  <c r="AZ45" i="2"/>
  <c r="AY45" i="2"/>
  <c r="AQ45" i="2"/>
  <c r="AB45" i="2" s="1"/>
  <c r="U45" i="2"/>
  <c r="DH44" i="2"/>
  <c r="DG44" i="2"/>
  <c r="DF44" i="2"/>
  <c r="DD44" i="2"/>
  <c r="DB44" i="2"/>
  <c r="DA44" i="2"/>
  <c r="CZ44" i="2"/>
  <c r="CY44" i="2"/>
  <c r="CX44" i="2"/>
  <c r="CW44" i="2"/>
  <c r="CV44" i="2"/>
  <c r="CU44" i="2"/>
  <c r="CT44" i="2"/>
  <c r="CS44" i="2"/>
  <c r="CR44" i="2"/>
  <c r="CQ44" i="2"/>
  <c r="CP44" i="2"/>
  <c r="CH44" i="2"/>
  <c r="BS44" i="2" s="1"/>
  <c r="BQ44" i="2"/>
  <c r="BP44" i="2"/>
  <c r="BO44" i="2"/>
  <c r="BM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Q44" i="2"/>
  <c r="AB44" i="2" s="1"/>
  <c r="U44" i="2"/>
  <c r="G44" i="2" s="1"/>
  <c r="DH43" i="2"/>
  <c r="DG43" i="2"/>
  <c r="DF43" i="2"/>
  <c r="DD43" i="2"/>
  <c r="DC43" i="2"/>
  <c r="DB43" i="2"/>
  <c r="DA43" i="2"/>
  <c r="CY43" i="2"/>
  <c r="CX43" i="2"/>
  <c r="CW43" i="2"/>
  <c r="CV43" i="2"/>
  <c r="CU43" i="2"/>
  <c r="CT43" i="2"/>
  <c r="CS43" i="2"/>
  <c r="CR43" i="2"/>
  <c r="CQ43" i="2"/>
  <c r="CP43" i="2"/>
  <c r="CE43" i="2"/>
  <c r="BS43" i="2" s="1"/>
  <c r="BQ43" i="2"/>
  <c r="BP43" i="2"/>
  <c r="BO43" i="2"/>
  <c r="BM43" i="2"/>
  <c r="BL43" i="2"/>
  <c r="BK43" i="2"/>
  <c r="BJ43" i="2"/>
  <c r="BH43" i="2"/>
  <c r="BG43" i="2"/>
  <c r="BF43" i="2"/>
  <c r="BE43" i="2"/>
  <c r="BD43" i="2"/>
  <c r="BC43" i="2"/>
  <c r="BB43" i="2"/>
  <c r="BA43" i="2"/>
  <c r="AZ43" i="2"/>
  <c r="AY43" i="2"/>
  <c r="AN43" i="2"/>
  <c r="AB43" i="2" s="1"/>
  <c r="R43" i="2"/>
  <c r="R140" i="2" s="1"/>
  <c r="DG42" i="2"/>
  <c r="DF42" i="2"/>
  <c r="DD42" i="2"/>
  <c r="DC42" i="2"/>
  <c r="DB42" i="2"/>
  <c r="DA42" i="2"/>
  <c r="CZ42" i="2"/>
  <c r="CY42" i="2"/>
  <c r="CX42" i="2"/>
  <c r="CW42" i="2"/>
  <c r="CV42" i="2"/>
  <c r="CU42" i="2"/>
  <c r="CT42" i="2"/>
  <c r="CS42" i="2"/>
  <c r="CR42" i="2"/>
  <c r="CQ42" i="2"/>
  <c r="CP42" i="2"/>
  <c r="BS42" i="2"/>
  <c r="BP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Z42" i="2"/>
  <c r="AY42" i="2"/>
  <c r="AB42" i="2"/>
  <c r="Z42" i="2"/>
  <c r="BQ42" i="2" s="1"/>
  <c r="DH41" i="2"/>
  <c r="DF41" i="2"/>
  <c r="DD41" i="2"/>
  <c r="DC41" i="2"/>
  <c r="DB41" i="2"/>
  <c r="CZ41" i="2"/>
  <c r="CY41" i="2"/>
  <c r="CX41" i="2"/>
  <c r="CW41" i="2"/>
  <c r="CV41" i="2"/>
  <c r="CU41" i="2"/>
  <c r="CT41" i="2"/>
  <c r="CS41" i="2"/>
  <c r="CR41" i="2"/>
  <c r="CQ41" i="2"/>
  <c r="CP41" i="2"/>
  <c r="CL41" i="2"/>
  <c r="CF41" i="2"/>
  <c r="BQ41" i="2"/>
  <c r="BM41" i="2"/>
  <c r="BL41" i="2"/>
  <c r="BK41" i="2"/>
  <c r="BI41" i="2"/>
  <c r="BH41" i="2"/>
  <c r="BG41" i="2"/>
  <c r="BF41" i="2"/>
  <c r="BE41" i="2"/>
  <c r="BD41" i="2"/>
  <c r="BC41" i="2"/>
  <c r="BB41" i="2"/>
  <c r="BA41" i="2"/>
  <c r="AZ41" i="2"/>
  <c r="AY41" i="2"/>
  <c r="AU41" i="2"/>
  <c r="AO41" i="2"/>
  <c r="Y41" i="2"/>
  <c r="G41" i="2" s="1"/>
  <c r="DG40" i="2"/>
  <c r="DF40" i="2"/>
  <c r="DD40" i="2"/>
  <c r="DB40" i="2"/>
  <c r="CZ40" i="2"/>
  <c r="CY40" i="2"/>
  <c r="CX40" i="2"/>
  <c r="CW40" i="2"/>
  <c r="CV40" i="2"/>
  <c r="CU40" i="2"/>
  <c r="CT40" i="2"/>
  <c r="CS40" i="2"/>
  <c r="CR40" i="2"/>
  <c r="CQ40" i="2"/>
  <c r="CP40" i="2"/>
  <c r="CM40" i="2"/>
  <c r="CH40" i="2"/>
  <c r="DC40" i="2" s="1"/>
  <c r="CF40" i="2"/>
  <c r="DA40" i="2" s="1"/>
  <c r="BP40" i="2"/>
  <c r="BM40" i="2"/>
  <c r="BK40" i="2"/>
  <c r="BI40" i="2"/>
  <c r="BH40" i="2"/>
  <c r="BG40" i="2"/>
  <c r="BF40" i="2"/>
  <c r="BE40" i="2"/>
  <c r="BD40" i="2"/>
  <c r="BC40" i="2"/>
  <c r="BB40" i="2"/>
  <c r="BA40" i="2"/>
  <c r="AZ40" i="2"/>
  <c r="AY40" i="2"/>
  <c r="AV40" i="2"/>
  <c r="AQ40" i="2"/>
  <c r="BL40" i="2" s="1"/>
  <c r="AO40" i="2"/>
  <c r="Z40" i="2"/>
  <c r="DH39" i="2"/>
  <c r="DG39" i="2"/>
  <c r="DF39" i="2"/>
  <c r="DD39" i="2"/>
  <c r="DC39" i="2"/>
  <c r="DB39" i="2"/>
  <c r="CZ39" i="2"/>
  <c r="CY39" i="2"/>
  <c r="CX39" i="2"/>
  <c r="CW39" i="2"/>
  <c r="CV39" i="2"/>
  <c r="CU39" i="2"/>
  <c r="CT39" i="2"/>
  <c r="CS39" i="2"/>
  <c r="CR39" i="2"/>
  <c r="CQ39" i="2"/>
  <c r="CP39" i="2"/>
  <c r="CF39" i="2"/>
  <c r="BS39" i="2" s="1"/>
  <c r="BQ39" i="2"/>
  <c r="BP39" i="2"/>
  <c r="BM39" i="2"/>
  <c r="BL39" i="2"/>
  <c r="BK39" i="2"/>
  <c r="BI39" i="2"/>
  <c r="BH39" i="2"/>
  <c r="BG39" i="2"/>
  <c r="BF39" i="2"/>
  <c r="BE39" i="2"/>
  <c r="BD39" i="2"/>
  <c r="BC39" i="2"/>
  <c r="BB39" i="2"/>
  <c r="BA39" i="2"/>
  <c r="AZ39" i="2"/>
  <c r="AY39" i="2"/>
  <c r="AO39" i="2"/>
  <c r="G39" i="2"/>
  <c r="DH38" i="2"/>
  <c r="DG38" i="2"/>
  <c r="DF38" i="2"/>
  <c r="DD38" i="2"/>
  <c r="DB38" i="2"/>
  <c r="DA38" i="2"/>
  <c r="CZ38" i="2"/>
  <c r="CY38" i="2"/>
  <c r="CX38" i="2"/>
  <c r="CW38" i="2"/>
  <c r="CV38" i="2"/>
  <c r="CU38" i="2"/>
  <c r="CT38" i="2"/>
  <c r="CS38" i="2"/>
  <c r="CR38" i="2"/>
  <c r="CQ38" i="2"/>
  <c r="CP38" i="2"/>
  <c r="CH38" i="2"/>
  <c r="BS38" i="2" s="1"/>
  <c r="BQ38" i="2"/>
  <c r="BP38" i="2"/>
  <c r="BO38" i="2"/>
  <c r="BM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Y38" i="2"/>
  <c r="AQ38" i="2"/>
  <c r="AB38" i="2" s="1"/>
  <c r="G38" i="2"/>
  <c r="DH37" i="2"/>
  <c r="DG37" i="2"/>
  <c r="DF37" i="2"/>
  <c r="DD37" i="2"/>
  <c r="DB37" i="2"/>
  <c r="DA37" i="2"/>
  <c r="CZ37" i="2"/>
  <c r="CY37" i="2"/>
  <c r="CX37" i="2"/>
  <c r="CW37" i="2"/>
  <c r="CV37" i="2"/>
  <c r="CU37" i="2"/>
  <c r="CT37" i="2"/>
  <c r="CS37" i="2"/>
  <c r="CR37" i="2"/>
  <c r="CQ37" i="2"/>
  <c r="CP37" i="2"/>
  <c r="CH37" i="2"/>
  <c r="BS37" i="2" s="1"/>
  <c r="BQ37" i="2"/>
  <c r="BM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Q37" i="2"/>
  <c r="AB37" i="2" s="1"/>
  <c r="U37" i="2"/>
  <c r="BL37" i="2" s="1"/>
  <c r="DG36" i="2"/>
  <c r="DF36" i="2"/>
  <c r="DD36" i="2"/>
  <c r="DB36" i="2"/>
  <c r="DA36" i="2"/>
  <c r="CZ36" i="2"/>
  <c r="CY36" i="2"/>
  <c r="CX36" i="2"/>
  <c r="CW36" i="2"/>
  <c r="CV36" i="2"/>
  <c r="CU36" i="2"/>
  <c r="CT36" i="2"/>
  <c r="CS36" i="2"/>
  <c r="CR36" i="2"/>
  <c r="CQ36" i="2"/>
  <c r="CP36" i="2"/>
  <c r="CM36" i="2"/>
  <c r="DH36" i="2" s="1"/>
  <c r="CH36" i="2"/>
  <c r="BM36" i="2"/>
  <c r="BK36" i="2"/>
  <c r="BJ36" i="2"/>
  <c r="BI36" i="2"/>
  <c r="BH36" i="2"/>
  <c r="BG36" i="2"/>
  <c r="BF36" i="2"/>
  <c r="BE36" i="2"/>
  <c r="BD36" i="2"/>
  <c r="BC36" i="2"/>
  <c r="BB36" i="2"/>
  <c r="BA36" i="2"/>
  <c r="AZ36" i="2"/>
  <c r="AY36" i="2"/>
  <c r="AV36" i="2"/>
  <c r="BQ36" i="2" s="1"/>
  <c r="AQ36" i="2"/>
  <c r="BL36" i="2" s="1"/>
  <c r="G36" i="2"/>
  <c r="DH35" i="2"/>
  <c r="DG35" i="2"/>
  <c r="DF35" i="2"/>
  <c r="DD35" i="2"/>
  <c r="DB35" i="2"/>
  <c r="DA35" i="2"/>
  <c r="CZ35" i="2"/>
  <c r="CY35" i="2"/>
  <c r="CX35" i="2"/>
  <c r="CW35" i="2"/>
  <c r="CV35" i="2"/>
  <c r="CU35" i="2"/>
  <c r="CT35" i="2"/>
  <c r="CS35" i="2"/>
  <c r="CR35" i="2"/>
  <c r="CQ35" i="2"/>
  <c r="CP35" i="2"/>
  <c r="CH35" i="2"/>
  <c r="DC35" i="2" s="1"/>
  <c r="BQ35" i="2"/>
  <c r="BM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Q35" i="2"/>
  <c r="BL35" i="2" s="1"/>
  <c r="G35" i="2"/>
  <c r="DH34" i="2"/>
  <c r="DG34" i="2"/>
  <c r="DF34" i="2"/>
  <c r="DD34" i="2"/>
  <c r="DB34" i="2"/>
  <c r="DA34" i="2"/>
  <c r="CZ34" i="2"/>
  <c r="CY34" i="2"/>
  <c r="CX34" i="2"/>
  <c r="CW34" i="2"/>
  <c r="CV34" i="2"/>
  <c r="CU34" i="2"/>
  <c r="CT34" i="2"/>
  <c r="CS34" i="2"/>
  <c r="CR34" i="2"/>
  <c r="CQ34" i="2"/>
  <c r="CP34" i="2"/>
  <c r="CJ34" i="2"/>
  <c r="CJ140" i="2" s="1"/>
  <c r="CH34" i="2"/>
  <c r="BQ34" i="2"/>
  <c r="BM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S34" i="2"/>
  <c r="AQ34" i="2"/>
  <c r="W34" i="2"/>
  <c r="W60" i="2" s="1"/>
  <c r="DG33" i="2"/>
  <c r="DF33" i="2"/>
  <c r="DD33" i="2"/>
  <c r="DC33" i="2"/>
  <c r="DB33" i="2"/>
  <c r="DA33" i="2"/>
  <c r="CZ33" i="2"/>
  <c r="CY33" i="2"/>
  <c r="CX33" i="2"/>
  <c r="CW33" i="2"/>
  <c r="CV33" i="2"/>
  <c r="CU33" i="2"/>
  <c r="CT33" i="2"/>
  <c r="CS33" i="2"/>
  <c r="CR33" i="2"/>
  <c r="CQ33" i="2"/>
  <c r="CP33" i="2"/>
  <c r="CM33" i="2"/>
  <c r="BS33" i="2" s="1"/>
  <c r="BM33" i="2"/>
  <c r="BL33" i="2"/>
  <c r="BJ33" i="2"/>
  <c r="BI33" i="2"/>
  <c r="BH33" i="2"/>
  <c r="BG33" i="2"/>
  <c r="BF33" i="2"/>
  <c r="BE33" i="2"/>
  <c r="BD33" i="2"/>
  <c r="BC33" i="2"/>
  <c r="BB33" i="2"/>
  <c r="BA33" i="2"/>
  <c r="AZ33" i="2"/>
  <c r="AY33" i="2"/>
  <c r="AV33" i="2"/>
  <c r="AB33" i="2" s="1"/>
  <c r="Z33" i="2"/>
  <c r="DG32" i="2"/>
  <c r="DF32" i="2"/>
  <c r="DD32" i="2"/>
  <c r="DC32" i="2"/>
  <c r="DB32" i="2"/>
  <c r="DA32" i="2"/>
  <c r="CZ32" i="2"/>
  <c r="CY32" i="2"/>
  <c r="CX32" i="2"/>
  <c r="CW32" i="2"/>
  <c r="CV32" i="2"/>
  <c r="CU32" i="2"/>
  <c r="CT32" i="2"/>
  <c r="CS32" i="2"/>
  <c r="CR32" i="2"/>
  <c r="CQ32" i="2"/>
  <c r="CP32" i="2"/>
  <c r="CM32" i="2"/>
  <c r="BS32" i="2" s="1"/>
  <c r="BM32" i="2"/>
  <c r="BL32" i="2"/>
  <c r="BJ32" i="2"/>
  <c r="BI32" i="2"/>
  <c r="BH32" i="2"/>
  <c r="BG32" i="2"/>
  <c r="BF32" i="2"/>
  <c r="BE32" i="2"/>
  <c r="BD32" i="2"/>
  <c r="BC32" i="2"/>
  <c r="BB32" i="2"/>
  <c r="BA32" i="2"/>
  <c r="AZ32" i="2"/>
  <c r="AY32" i="2"/>
  <c r="AV32" i="2"/>
  <c r="Z32" i="2"/>
  <c r="G32" i="2"/>
  <c r="DH31" i="2"/>
  <c r="DG31" i="2"/>
  <c r="DF31" i="2"/>
  <c r="DD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H31" i="2"/>
  <c r="BS31" i="2" s="1"/>
  <c r="BQ31" i="2"/>
  <c r="BM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Q31" i="2"/>
  <c r="AB31" i="2" s="1"/>
  <c r="U31" i="2"/>
  <c r="DH30" i="2"/>
  <c r="DG30" i="2"/>
  <c r="DF30" i="2"/>
  <c r="DD30" i="2"/>
  <c r="DB30" i="2"/>
  <c r="DA30" i="2"/>
  <c r="CY30" i="2"/>
  <c r="CX30" i="2"/>
  <c r="CW30" i="2"/>
  <c r="CV30" i="2"/>
  <c r="CU30" i="2"/>
  <c r="CT30" i="2"/>
  <c r="CS30" i="2"/>
  <c r="CR30" i="2"/>
  <c r="CQ30" i="2"/>
  <c r="CP30" i="2"/>
  <c r="CH30" i="2"/>
  <c r="DC30" i="2" s="1"/>
  <c r="CE30" i="2"/>
  <c r="BQ30" i="2"/>
  <c r="BM30" i="2"/>
  <c r="BK30" i="2"/>
  <c r="BJ30" i="2"/>
  <c r="BH30" i="2"/>
  <c r="BG30" i="2"/>
  <c r="BF30" i="2"/>
  <c r="BE30" i="2"/>
  <c r="BD30" i="2"/>
  <c r="BC30" i="2"/>
  <c r="BB30" i="2"/>
  <c r="BA30" i="2"/>
  <c r="AZ30" i="2"/>
  <c r="AY30" i="2"/>
  <c r="AQ30" i="2"/>
  <c r="BL30" i="2" s="1"/>
  <c r="AN30" i="2"/>
  <c r="BI30" i="2" s="1"/>
  <c r="G30" i="2"/>
  <c r="DH29" i="2"/>
  <c r="DG29" i="2"/>
  <c r="DF29" i="2"/>
  <c r="DD29" i="2"/>
  <c r="DB29" i="2"/>
  <c r="DA29" i="2"/>
  <c r="CZ29" i="2"/>
  <c r="CY29" i="2"/>
  <c r="CX29" i="2"/>
  <c r="CW29" i="2"/>
  <c r="CV29" i="2"/>
  <c r="CU29" i="2"/>
  <c r="CT29" i="2"/>
  <c r="CS29" i="2"/>
  <c r="CR29" i="2"/>
  <c r="CQ29" i="2"/>
  <c r="CP29" i="2"/>
  <c r="CH29" i="2"/>
  <c r="BS29" i="2" s="1"/>
  <c r="BQ29" i="2"/>
  <c r="BM29" i="2"/>
  <c r="BK29" i="2"/>
  <c r="BJ29" i="2"/>
  <c r="BI29" i="2"/>
  <c r="BH29" i="2"/>
  <c r="BG29" i="2"/>
  <c r="BF29" i="2"/>
  <c r="BE29" i="2"/>
  <c r="BD29" i="2"/>
  <c r="BC29" i="2"/>
  <c r="BB29" i="2"/>
  <c r="BA29" i="2"/>
  <c r="AZ29" i="2"/>
  <c r="AY29" i="2"/>
  <c r="AQ29" i="2"/>
  <c r="AB29" i="2" s="1"/>
  <c r="U29" i="2"/>
  <c r="G29" i="2" s="1"/>
  <c r="DH28" i="2"/>
  <c r="DG28" i="2"/>
  <c r="DF28" i="2"/>
  <c r="DD28" i="2"/>
  <c r="DB28" i="2"/>
  <c r="DA28" i="2"/>
  <c r="CZ28" i="2"/>
  <c r="CY28" i="2"/>
  <c r="CX28" i="2"/>
  <c r="CW28" i="2"/>
  <c r="CV28" i="2"/>
  <c r="CU28" i="2"/>
  <c r="CT28" i="2"/>
  <c r="CS28" i="2"/>
  <c r="CR28" i="2"/>
  <c r="CQ28" i="2"/>
  <c r="CP28" i="2"/>
  <c r="BS28" i="2"/>
  <c r="BQ28" i="2"/>
  <c r="BM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Y28" i="2"/>
  <c r="AB28" i="2"/>
  <c r="U28" i="2"/>
  <c r="BL28" i="2" s="1"/>
  <c r="DH27" i="2"/>
  <c r="DG27" i="2"/>
  <c r="DF27" i="2"/>
  <c r="DD27" i="2"/>
  <c r="DB27" i="2"/>
  <c r="DA27" i="2"/>
  <c r="CZ27" i="2"/>
  <c r="CY27" i="2"/>
  <c r="CX27" i="2"/>
  <c r="CW27" i="2"/>
  <c r="CV27" i="2"/>
  <c r="CU27" i="2"/>
  <c r="CT27" i="2"/>
  <c r="CS27" i="2"/>
  <c r="CR27" i="2"/>
  <c r="CQ27" i="2"/>
  <c r="CP27" i="2"/>
  <c r="CH27" i="2"/>
  <c r="BS27" i="2" s="1"/>
  <c r="BQ27" i="2"/>
  <c r="BM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Q27" i="2"/>
  <c r="AB27" i="2" s="1"/>
  <c r="U27" i="2"/>
  <c r="G27" i="2" s="1"/>
  <c r="DH26" i="2"/>
  <c r="DG26" i="2"/>
  <c r="DF26" i="2"/>
  <c r="DD26" i="2"/>
  <c r="DB26" i="2"/>
  <c r="DA26" i="2"/>
  <c r="CZ26" i="2"/>
  <c r="CY26" i="2"/>
  <c r="CX26" i="2"/>
  <c r="CW26" i="2"/>
  <c r="CV26" i="2"/>
  <c r="CU26" i="2"/>
  <c r="CT26" i="2"/>
  <c r="CS26" i="2"/>
  <c r="CR26" i="2"/>
  <c r="CQ26" i="2"/>
  <c r="CP26" i="2"/>
  <c r="CH26" i="2"/>
  <c r="BQ26" i="2"/>
  <c r="BM26" i="2"/>
  <c r="BK26" i="2"/>
  <c r="BJ26" i="2"/>
  <c r="BI26" i="2"/>
  <c r="BH26" i="2"/>
  <c r="BG26" i="2"/>
  <c r="BF26" i="2"/>
  <c r="BE26" i="2"/>
  <c r="BD26" i="2"/>
  <c r="BC26" i="2"/>
  <c r="BB26" i="2"/>
  <c r="BA26" i="2"/>
  <c r="AZ26" i="2"/>
  <c r="AY26" i="2"/>
  <c r="AQ26" i="2"/>
  <c r="AB26" i="2" s="1"/>
  <c r="G26" i="2"/>
  <c r="BV25" i="2"/>
  <c r="BS25" i="2" s="1"/>
  <c r="AE25" i="2"/>
  <c r="AB25" i="2" s="1"/>
  <c r="I25" i="2"/>
  <c r="BV24" i="2"/>
  <c r="CQ24" i="2" s="1"/>
  <c r="CO24" i="2" s="1"/>
  <c r="AE24" i="2"/>
  <c r="AB24" i="2" s="1"/>
  <c r="G24" i="2"/>
  <c r="DG23" i="2"/>
  <c r="DF23" i="2"/>
  <c r="DD23" i="2"/>
  <c r="DC23" i="2"/>
  <c r="DB23" i="2"/>
  <c r="DA23" i="2"/>
  <c r="CZ23" i="2"/>
  <c r="CY23" i="2"/>
  <c r="CX23" i="2"/>
  <c r="CW23" i="2"/>
  <c r="CV23" i="2"/>
  <c r="CU23" i="2"/>
  <c r="CT23" i="2"/>
  <c r="CS23" i="2"/>
  <c r="CR23" i="2"/>
  <c r="CP23" i="2"/>
  <c r="CM23" i="2"/>
  <c r="BV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Y23" i="2"/>
  <c r="AV23" i="2"/>
  <c r="AE23" i="2"/>
  <c r="I23" i="2"/>
  <c r="G23" i="2"/>
  <c r="DH22" i="2"/>
  <c r="DG22" i="2"/>
  <c r="DF22" i="2"/>
  <c r="DD22" i="2"/>
  <c r="DC22" i="2"/>
  <c r="DB22" i="2"/>
  <c r="DA22" i="2"/>
  <c r="CZ22" i="2"/>
  <c r="CY22" i="2"/>
  <c r="CX22" i="2"/>
  <c r="CW22" i="2"/>
  <c r="CV22" i="2"/>
  <c r="CU22" i="2"/>
  <c r="CT22" i="2"/>
  <c r="CS22" i="2"/>
  <c r="CR22" i="2"/>
  <c r="CP22" i="2"/>
  <c r="BV22" i="2"/>
  <c r="BS22" i="2" s="1"/>
  <c r="BQ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Y22" i="2"/>
  <c r="AE22" i="2"/>
  <c r="AZ22" i="2" s="1"/>
  <c r="AB22" i="2"/>
  <c r="G22" i="2"/>
  <c r="DH21" i="2"/>
  <c r="DG21" i="2"/>
  <c r="DF21" i="2"/>
  <c r="DD21" i="2"/>
  <c r="DC21" i="2"/>
  <c r="DB21" i="2"/>
  <c r="DA21" i="2"/>
  <c r="CZ21" i="2"/>
  <c r="CY21" i="2"/>
  <c r="CX21" i="2"/>
  <c r="CW21" i="2"/>
  <c r="CV21" i="2"/>
  <c r="CU21" i="2"/>
  <c r="CT21" i="2"/>
  <c r="CS21" i="2"/>
  <c r="CR21" i="2"/>
  <c r="CP21" i="2"/>
  <c r="BV21" i="2"/>
  <c r="BQ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BA21" i="2"/>
  <c r="AY21" i="2"/>
  <c r="AE21" i="2"/>
  <c r="AB21" i="2" s="1"/>
  <c r="G21" i="2"/>
  <c r="DE20" i="2"/>
  <c r="CL20" i="2"/>
  <c r="CK20" i="2"/>
  <c r="CI20" i="2"/>
  <c r="CH20" i="2"/>
  <c r="CE20" i="2"/>
  <c r="CD20" i="2"/>
  <c r="CC20" i="2"/>
  <c r="CB20" i="2"/>
  <c r="CA20" i="2"/>
  <c r="BZ20" i="2"/>
  <c r="BW20" i="2"/>
  <c r="BU20" i="2"/>
  <c r="BT20" i="2"/>
  <c r="AU20" i="2"/>
  <c r="AT20" i="2"/>
  <c r="AS20" i="2"/>
  <c r="AR20" i="2"/>
  <c r="AQ20" i="2"/>
  <c r="AN20" i="2"/>
  <c r="AM20" i="2"/>
  <c r="AL20" i="2"/>
  <c r="AK20" i="2"/>
  <c r="AJ20" i="2"/>
  <c r="AI20" i="2"/>
  <c r="AF20" i="2"/>
  <c r="AD20" i="2"/>
  <c r="Y20" i="2"/>
  <c r="X20" i="2"/>
  <c r="V20" i="2"/>
  <c r="U20" i="2"/>
  <c r="T20" i="2"/>
  <c r="S20" i="2"/>
  <c r="R20" i="2"/>
  <c r="Q20" i="2"/>
  <c r="P20" i="2"/>
  <c r="O20" i="2"/>
  <c r="N20" i="2"/>
  <c r="M20" i="2"/>
  <c r="L20" i="2"/>
  <c r="J20" i="2"/>
  <c r="H20" i="2"/>
  <c r="DG19" i="2"/>
  <c r="DF19" i="2"/>
  <c r="DD19" i="2"/>
  <c r="DC19" i="2"/>
  <c r="DB19" i="2"/>
  <c r="DA19" i="2"/>
  <c r="CZ19" i="2"/>
  <c r="CY19" i="2"/>
  <c r="CX19" i="2"/>
  <c r="CW19" i="2"/>
  <c r="CV19" i="2"/>
  <c r="CU19" i="2"/>
  <c r="CT19" i="2"/>
  <c r="CR19" i="2"/>
  <c r="CQ19" i="2"/>
  <c r="CP19" i="2"/>
  <c r="CM19" i="2"/>
  <c r="BX19" i="2"/>
  <c r="BP19" i="2"/>
  <c r="BM19" i="2"/>
  <c r="BL19" i="2"/>
  <c r="BK19" i="2"/>
  <c r="BJ19" i="2"/>
  <c r="BI19" i="2"/>
  <c r="BH19" i="2"/>
  <c r="BG19" i="2"/>
  <c r="BF19" i="2"/>
  <c r="BE19" i="2"/>
  <c r="BD19" i="2"/>
  <c r="BC19" i="2"/>
  <c r="BA19" i="2"/>
  <c r="AZ19" i="2"/>
  <c r="AY19" i="2"/>
  <c r="AV19" i="2"/>
  <c r="AG19" i="2"/>
  <c r="Z19" i="2"/>
  <c r="K19" i="2"/>
  <c r="DH18" i="2"/>
  <c r="DG18" i="2"/>
  <c r="DF18" i="2"/>
  <c r="DD18" i="2"/>
  <c r="DC18" i="2"/>
  <c r="DB18" i="2"/>
  <c r="DA18" i="2"/>
  <c r="CZ18" i="2"/>
  <c r="CY18" i="2"/>
  <c r="CX18" i="2"/>
  <c r="CW18" i="2"/>
  <c r="CV18" i="2"/>
  <c r="CU18" i="2"/>
  <c r="CT18" i="2"/>
  <c r="CR18" i="2"/>
  <c r="CQ18" i="2"/>
  <c r="CP18" i="2"/>
  <c r="BX18" i="2"/>
  <c r="BQ18" i="2"/>
  <c r="BP18" i="2"/>
  <c r="BM18" i="2"/>
  <c r="BL18" i="2"/>
  <c r="BK18" i="2"/>
  <c r="BJ18" i="2"/>
  <c r="BI18" i="2"/>
  <c r="BH18" i="2"/>
  <c r="BG18" i="2"/>
  <c r="BF18" i="2"/>
  <c r="BE18" i="2"/>
  <c r="BD18" i="2"/>
  <c r="BC18" i="2"/>
  <c r="BA18" i="2"/>
  <c r="AZ18" i="2"/>
  <c r="AY18" i="2"/>
  <c r="AG18" i="2"/>
  <c r="K18" i="2"/>
  <c r="G18" i="2" s="1"/>
  <c r="DH17" i="2"/>
  <c r="DG17" i="2"/>
  <c r="DF17" i="2"/>
  <c r="DD17" i="2"/>
  <c r="DC17" i="2"/>
  <c r="DB17" i="2"/>
  <c r="DA17" i="2"/>
  <c r="CZ17" i="2"/>
  <c r="CY17" i="2"/>
  <c r="CX17" i="2"/>
  <c r="CW17" i="2"/>
  <c r="CV17" i="2"/>
  <c r="CU17" i="2"/>
  <c r="CT17" i="2"/>
  <c r="CR17" i="2"/>
  <c r="CQ17" i="2"/>
  <c r="CP17" i="2"/>
  <c r="BX17" i="2"/>
  <c r="BS17" i="2" s="1"/>
  <c r="BQ17" i="2"/>
  <c r="BP17" i="2"/>
  <c r="BO17" i="2"/>
  <c r="BM17" i="2"/>
  <c r="BL17" i="2"/>
  <c r="BK17" i="2"/>
  <c r="BJ17" i="2"/>
  <c r="BI17" i="2"/>
  <c r="BH17" i="2"/>
  <c r="BG17" i="2"/>
  <c r="BF17" i="2"/>
  <c r="BE17" i="2"/>
  <c r="BD17" i="2"/>
  <c r="BC17" i="2"/>
  <c r="BA17" i="2"/>
  <c r="AZ17" i="2"/>
  <c r="AY17" i="2"/>
  <c r="AG17" i="2"/>
  <c r="AB17" i="2" s="1"/>
  <c r="K17" i="2"/>
  <c r="DG16" i="2"/>
  <c r="DF16" i="2"/>
  <c r="DD16" i="2"/>
  <c r="DC16" i="2"/>
  <c r="DB16" i="2"/>
  <c r="DA16" i="2"/>
  <c r="CZ16" i="2"/>
  <c r="CY16" i="2"/>
  <c r="CX16" i="2"/>
  <c r="CW16" i="2"/>
  <c r="CV16" i="2"/>
  <c r="CU16" i="2"/>
  <c r="CT16" i="2"/>
  <c r="CS16" i="2"/>
  <c r="CR16" i="2"/>
  <c r="CQ16" i="2"/>
  <c r="CP16" i="2"/>
  <c r="BS16" i="2"/>
  <c r="BP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Z16" i="2"/>
  <c r="AY16" i="2"/>
  <c r="AB16" i="2"/>
  <c r="Z16" i="2"/>
  <c r="G16" i="2" s="1"/>
  <c r="DH15" i="2"/>
  <c r="DG15" i="2"/>
  <c r="DF15" i="2"/>
  <c r="DD15" i="2"/>
  <c r="DC15" i="2"/>
  <c r="DB15" i="2"/>
  <c r="CZ15" i="2"/>
  <c r="CY15" i="2"/>
  <c r="CX15" i="2"/>
  <c r="CW15" i="2"/>
  <c r="CV15" i="2"/>
  <c r="CU15" i="2"/>
  <c r="CT15" i="2"/>
  <c r="CR15" i="2"/>
  <c r="CQ15" i="2"/>
  <c r="CP15" i="2"/>
  <c r="CF15" i="2"/>
  <c r="BX15" i="2"/>
  <c r="CS15" i="2" s="1"/>
  <c r="BQ15" i="2"/>
  <c r="BP15" i="2"/>
  <c r="BM15" i="2"/>
  <c r="BL15" i="2"/>
  <c r="BK15" i="2"/>
  <c r="BI15" i="2"/>
  <c r="BH15" i="2"/>
  <c r="BG15" i="2"/>
  <c r="BF15" i="2"/>
  <c r="BE15" i="2"/>
  <c r="BD15" i="2"/>
  <c r="BC15" i="2"/>
  <c r="BA15" i="2"/>
  <c r="AZ15" i="2"/>
  <c r="AY15" i="2"/>
  <c r="AO15" i="2"/>
  <c r="BJ15" i="2" s="1"/>
  <c r="AG15" i="2"/>
  <c r="BB15" i="2" s="1"/>
  <c r="G15" i="2"/>
  <c r="DH14" i="2"/>
  <c r="DG14" i="2"/>
  <c r="DF14" i="2"/>
  <c r="DD14" i="2"/>
  <c r="DC14" i="2"/>
  <c r="DB14" i="2"/>
  <c r="DA14" i="2"/>
  <c r="CZ14" i="2"/>
  <c r="CY14" i="2"/>
  <c r="CX14" i="2"/>
  <c r="CW14" i="2"/>
  <c r="CV14" i="2"/>
  <c r="CU14" i="2"/>
  <c r="CT14" i="2"/>
  <c r="CR14" i="2"/>
  <c r="CQ14" i="2"/>
  <c r="CP14" i="2"/>
  <c r="BX14" i="2"/>
  <c r="BS14" i="2" s="1"/>
  <c r="BQ14" i="2"/>
  <c r="BP14" i="2"/>
  <c r="BO14" i="2"/>
  <c r="BM14" i="2"/>
  <c r="BL14" i="2"/>
  <c r="BK14" i="2"/>
  <c r="BJ14" i="2"/>
  <c r="BI14" i="2"/>
  <c r="BH14" i="2"/>
  <c r="BG14" i="2"/>
  <c r="BF14" i="2"/>
  <c r="BE14" i="2"/>
  <c r="BD14" i="2"/>
  <c r="BC14" i="2"/>
  <c r="BA14" i="2"/>
  <c r="AZ14" i="2"/>
  <c r="AY14" i="2"/>
  <c r="AG14" i="2"/>
  <c r="AB14" i="2" s="1"/>
  <c r="K14" i="2"/>
  <c r="DG13" i="2"/>
  <c r="DF13" i="2"/>
  <c r="DD13" i="2"/>
  <c r="DC13" i="2"/>
  <c r="DA13" i="2"/>
  <c r="CZ13" i="2"/>
  <c r="CY13" i="2"/>
  <c r="CX13" i="2"/>
  <c r="CW13" i="2"/>
  <c r="CV13" i="2"/>
  <c r="CU13" i="2"/>
  <c r="CR13" i="2"/>
  <c r="CQ13" i="2"/>
  <c r="CP13" i="2"/>
  <c r="CM13" i="2"/>
  <c r="CG13" i="2"/>
  <c r="CG141" i="2" s="1"/>
  <c r="BY13" i="2"/>
  <c r="BY141" i="2" s="1"/>
  <c r="BX13" i="2"/>
  <c r="CS13" i="2" s="1"/>
  <c r="BP13" i="2"/>
  <c r="BM13" i="2"/>
  <c r="BL13" i="2"/>
  <c r="BJ13" i="2"/>
  <c r="BI13" i="2"/>
  <c r="BH13" i="2"/>
  <c r="BG13" i="2"/>
  <c r="BF13" i="2"/>
  <c r="BE13" i="2"/>
  <c r="BD13" i="2"/>
  <c r="BA13" i="2"/>
  <c r="AZ13" i="2"/>
  <c r="AY13" i="2"/>
  <c r="AV13" i="2"/>
  <c r="AP13" i="2"/>
  <c r="AP141" i="2" s="1"/>
  <c r="AH13" i="2"/>
  <c r="AH141" i="2" s="1"/>
  <c r="AG13" i="2"/>
  <c r="Z13" i="2"/>
  <c r="G13" i="2" s="1"/>
  <c r="DH12" i="2"/>
  <c r="DG12" i="2"/>
  <c r="DF12" i="2"/>
  <c r="DD12" i="2"/>
  <c r="DC12" i="2"/>
  <c r="DB12" i="2"/>
  <c r="DA12" i="2"/>
  <c r="CZ12" i="2"/>
  <c r="CY12" i="2"/>
  <c r="CX12" i="2"/>
  <c r="CW12" i="2"/>
  <c r="CV12" i="2"/>
  <c r="CU12" i="2"/>
  <c r="CT12" i="2"/>
  <c r="CR12" i="2"/>
  <c r="CQ12" i="2"/>
  <c r="CP12" i="2"/>
  <c r="BX12" i="2"/>
  <c r="CS12" i="2" s="1"/>
  <c r="BQ12" i="2"/>
  <c r="BP12" i="2"/>
  <c r="BM12" i="2"/>
  <c r="BL12" i="2"/>
  <c r="BK12" i="2"/>
  <c r="BJ12" i="2"/>
  <c r="BI12" i="2"/>
  <c r="BH12" i="2"/>
  <c r="BG12" i="2"/>
  <c r="BF12" i="2"/>
  <c r="BE12" i="2"/>
  <c r="BD12" i="2"/>
  <c r="BC12" i="2"/>
  <c r="BA12" i="2"/>
  <c r="AZ12" i="2"/>
  <c r="AY12" i="2"/>
  <c r="AG12" i="2"/>
  <c r="G12" i="2"/>
  <c r="DH11" i="2"/>
  <c r="DG11" i="2"/>
  <c r="DF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CR11" i="2"/>
  <c r="CP11" i="2"/>
  <c r="BV11" i="2"/>
  <c r="CQ11" i="2" s="1"/>
  <c r="BQ11" i="2"/>
  <c r="BP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Y11" i="2"/>
  <c r="AE11" i="2"/>
  <c r="G11" i="2"/>
  <c r="DH10" i="2"/>
  <c r="DG10" i="2"/>
  <c r="DF10" i="2"/>
  <c r="DD10" i="2"/>
  <c r="DC10" i="2"/>
  <c r="DB10" i="2"/>
  <c r="DA10" i="2"/>
  <c r="CZ10" i="2"/>
  <c r="CY10" i="2"/>
  <c r="CX10" i="2"/>
  <c r="CW10" i="2"/>
  <c r="CV10" i="2"/>
  <c r="CU10" i="2"/>
  <c r="CT10" i="2"/>
  <c r="CR10" i="2"/>
  <c r="CQ10" i="2"/>
  <c r="CP10" i="2"/>
  <c r="BX10" i="2"/>
  <c r="BS10" i="2" s="1"/>
  <c r="BQ10" i="2"/>
  <c r="BP10" i="2"/>
  <c r="BM10" i="2"/>
  <c r="BL10" i="2"/>
  <c r="BK10" i="2"/>
  <c r="BJ10" i="2"/>
  <c r="BI10" i="2"/>
  <c r="BH10" i="2"/>
  <c r="BG10" i="2"/>
  <c r="BF10" i="2"/>
  <c r="BE10" i="2"/>
  <c r="BD10" i="2"/>
  <c r="BC10" i="2"/>
  <c r="BA10" i="2"/>
  <c r="AZ10" i="2"/>
  <c r="AY10" i="2"/>
  <c r="AG10" i="2"/>
  <c r="AB10" i="2"/>
  <c r="K10" i="2"/>
  <c r="DG9" i="2"/>
  <c r="DF9" i="2"/>
  <c r="DD9" i="2"/>
  <c r="DC9" i="2"/>
  <c r="DB9" i="2"/>
  <c r="DA9" i="2"/>
  <c r="CZ9" i="2"/>
  <c r="CY9" i="2"/>
  <c r="CX9" i="2"/>
  <c r="CW9" i="2"/>
  <c r="CV9" i="2"/>
  <c r="CU9" i="2"/>
  <c r="CT9" i="2"/>
  <c r="CR9" i="2"/>
  <c r="CP9" i="2"/>
  <c r="CM9" i="2"/>
  <c r="BX9" i="2"/>
  <c r="BV9" i="2"/>
  <c r="BP9" i="2"/>
  <c r="BM9" i="2"/>
  <c r="BL9" i="2"/>
  <c r="BK9" i="2"/>
  <c r="BJ9" i="2"/>
  <c r="BI9" i="2"/>
  <c r="BH9" i="2"/>
  <c r="BG9" i="2"/>
  <c r="BF9" i="2"/>
  <c r="BE9" i="2"/>
  <c r="BD9" i="2"/>
  <c r="BC9" i="2"/>
  <c r="BA9" i="2"/>
  <c r="AY9" i="2"/>
  <c r="AV9" i="2"/>
  <c r="AG9" i="2"/>
  <c r="AE9" i="2"/>
  <c r="Z9" i="2"/>
  <c r="K9" i="2"/>
  <c r="I9" i="2"/>
  <c r="DH8" i="2"/>
  <c r="DG8" i="2"/>
  <c r="DF8" i="2"/>
  <c r="DD8" i="2"/>
  <c r="DC8" i="2"/>
  <c r="DB8" i="2"/>
  <c r="DA8" i="2"/>
  <c r="CZ8" i="2"/>
  <c r="CY8" i="2"/>
  <c r="CX8" i="2"/>
  <c r="CW8" i="2"/>
  <c r="CV8" i="2"/>
  <c r="CU8" i="2"/>
  <c r="CT8" i="2"/>
  <c r="CR8" i="2"/>
  <c r="CP8" i="2"/>
  <c r="BX8" i="2"/>
  <c r="BV8" i="2"/>
  <c r="BQ8" i="2"/>
  <c r="BP8" i="2"/>
  <c r="BM8" i="2"/>
  <c r="BL8" i="2"/>
  <c r="BK8" i="2"/>
  <c r="BJ8" i="2"/>
  <c r="BI8" i="2"/>
  <c r="BH8" i="2"/>
  <c r="BG8" i="2"/>
  <c r="BF8" i="2"/>
  <c r="BE8" i="2"/>
  <c r="BD8" i="2"/>
  <c r="BC8" i="2"/>
  <c r="BA8" i="2"/>
  <c r="AY8" i="2"/>
  <c r="AG8" i="2"/>
  <c r="AE8" i="2"/>
  <c r="K8" i="2"/>
  <c r="I8" i="2"/>
  <c r="DG7" i="2"/>
  <c r="DF7" i="2"/>
  <c r="DD7" i="2"/>
  <c r="DC7" i="2"/>
  <c r="DB7" i="2"/>
  <c r="DA7" i="2"/>
  <c r="CZ7" i="2"/>
  <c r="CY7" i="2"/>
  <c r="CX7" i="2"/>
  <c r="CW7" i="2"/>
  <c r="CV7" i="2"/>
  <c r="CU7" i="2"/>
  <c r="CT7" i="2"/>
  <c r="CR7" i="2"/>
  <c r="CP7" i="2"/>
  <c r="CM7" i="2"/>
  <c r="BS7" i="2"/>
  <c r="BP7" i="2"/>
  <c r="BM7" i="2"/>
  <c r="BL7" i="2"/>
  <c r="BK7" i="2"/>
  <c r="BJ7" i="2"/>
  <c r="BI7" i="2"/>
  <c r="BH7" i="2"/>
  <c r="BG7" i="2"/>
  <c r="BF7" i="2"/>
  <c r="BE7" i="2"/>
  <c r="BD7" i="2"/>
  <c r="BC7" i="2"/>
  <c r="BA7" i="2"/>
  <c r="AY7" i="2"/>
  <c r="AV7" i="2"/>
  <c r="AB7" i="2"/>
  <c r="Z7" i="2"/>
  <c r="DH7" i="2" s="1"/>
  <c r="K7" i="2"/>
  <c r="BB7" i="2" s="1"/>
  <c r="I7" i="2"/>
  <c r="AZ7" i="2" s="1"/>
  <c r="DH6" i="2"/>
  <c r="DG6" i="2"/>
  <c r="DF6" i="2"/>
  <c r="DD6" i="2"/>
  <c r="DC6" i="2"/>
  <c r="DB6" i="2"/>
  <c r="DA6" i="2"/>
  <c r="CZ6" i="2"/>
  <c r="CY6" i="2"/>
  <c r="CX6" i="2"/>
  <c r="CW6" i="2"/>
  <c r="CV6" i="2"/>
  <c r="CU6" i="2"/>
  <c r="CT6" i="2"/>
  <c r="CR6" i="2"/>
  <c r="CP6" i="2"/>
  <c r="BX6" i="2"/>
  <c r="BS6" i="2" s="1"/>
  <c r="BQ6" i="2"/>
  <c r="BP6" i="2"/>
  <c r="BM6" i="2"/>
  <c r="BL6" i="2"/>
  <c r="BK6" i="2"/>
  <c r="BJ6" i="2"/>
  <c r="BI6" i="2"/>
  <c r="BH6" i="2"/>
  <c r="BG6" i="2"/>
  <c r="BF6" i="2"/>
  <c r="BE6" i="2"/>
  <c r="BD6" i="2"/>
  <c r="BC6" i="2"/>
  <c r="BA6" i="2"/>
  <c r="AY6" i="2"/>
  <c r="AG6" i="2"/>
  <c r="AB6" i="2" s="1"/>
  <c r="K6" i="2"/>
  <c r="BB6" i="2" s="1"/>
  <c r="I6" i="2"/>
  <c r="AZ6" i="2" s="1"/>
  <c r="DG5" i="2"/>
  <c r="DF5" i="2"/>
  <c r="DD5" i="2"/>
  <c r="DC5" i="2"/>
  <c r="DB5" i="2"/>
  <c r="DA5" i="2"/>
  <c r="CZ5" i="2"/>
  <c r="CY5" i="2"/>
  <c r="CX5" i="2"/>
  <c r="CW5" i="2"/>
  <c r="CV5" i="2"/>
  <c r="CU5" i="2"/>
  <c r="CT5" i="2"/>
  <c r="CR5" i="2"/>
  <c r="CP5" i="2"/>
  <c r="CM5" i="2"/>
  <c r="BX5" i="2"/>
  <c r="BS5" i="2"/>
  <c r="BP5" i="2"/>
  <c r="BM5" i="2"/>
  <c r="BL5" i="2"/>
  <c r="BK5" i="2"/>
  <c r="BJ5" i="2"/>
  <c r="BI5" i="2"/>
  <c r="BH5" i="2"/>
  <c r="BG5" i="2"/>
  <c r="BF5" i="2"/>
  <c r="BE5" i="2"/>
  <c r="BD5" i="2"/>
  <c r="BC5" i="2"/>
  <c r="BA5" i="2"/>
  <c r="AY5" i="2"/>
  <c r="AV5" i="2"/>
  <c r="AG5" i="2"/>
  <c r="AB5" i="2" s="1"/>
  <c r="Z5" i="2"/>
  <c r="K5" i="2"/>
  <c r="I5" i="2"/>
  <c r="AZ5" i="2" s="1"/>
  <c r="DH4" i="2"/>
  <c r="DG4" i="2"/>
  <c r="DF4" i="2"/>
  <c r="DD4" i="2"/>
  <c r="DC4" i="2"/>
  <c r="DB4" i="2"/>
  <c r="DA4" i="2"/>
  <c r="CZ4" i="2"/>
  <c r="CY4" i="2"/>
  <c r="CX4" i="2"/>
  <c r="CW4" i="2"/>
  <c r="CV4" i="2"/>
  <c r="CU4" i="2"/>
  <c r="CT4" i="2"/>
  <c r="CR4" i="2"/>
  <c r="CQ4" i="2"/>
  <c r="CP4" i="2"/>
  <c r="BX4" i="2"/>
  <c r="CS4" i="2" s="1"/>
  <c r="BQ4" i="2"/>
  <c r="BP4" i="2"/>
  <c r="BO4" i="2"/>
  <c r="BM4" i="2"/>
  <c r="BL4" i="2"/>
  <c r="BK4" i="2"/>
  <c r="BJ4" i="2"/>
  <c r="BI4" i="2"/>
  <c r="BH4" i="2"/>
  <c r="BG4" i="2"/>
  <c r="BF4" i="2"/>
  <c r="BE4" i="2"/>
  <c r="BD4" i="2"/>
  <c r="BC4" i="2"/>
  <c r="BB4" i="2"/>
  <c r="BA4" i="2"/>
  <c r="AZ4" i="2"/>
  <c r="AY4" i="2"/>
  <c r="AB4" i="2"/>
  <c r="G4" i="2"/>
  <c r="BL3" i="2"/>
  <c r="CH3" i="2" s="1"/>
  <c r="DC3" i="2" s="1"/>
  <c r="AB81" i="2" l="1"/>
  <c r="BS115" i="3"/>
  <c r="BS79" i="2"/>
  <c r="BS65" i="3"/>
  <c r="AB70" i="3"/>
  <c r="AA70" i="3" s="1"/>
  <c r="AW70" i="3" s="1"/>
  <c r="CQ114" i="3"/>
  <c r="BS89" i="3"/>
  <c r="BR89" i="3" s="1"/>
  <c r="CN89" i="3" s="1"/>
  <c r="AB131" i="3"/>
  <c r="AA131" i="3" s="1"/>
  <c r="AW131" i="3" s="1"/>
  <c r="AZ52" i="2"/>
  <c r="BI43" i="3"/>
  <c r="BI139" i="3" s="1"/>
  <c r="AB66" i="3"/>
  <c r="AB71" i="3"/>
  <c r="BS72" i="3"/>
  <c r="BR72" i="3" s="1"/>
  <c r="CN72" i="3" s="1"/>
  <c r="BS40" i="3"/>
  <c r="BR40" i="3" s="1"/>
  <c r="CN40" i="3" s="1"/>
  <c r="DD96" i="2"/>
  <c r="CS127" i="3"/>
  <c r="AB83" i="3"/>
  <c r="AA83" i="3" s="1"/>
  <c r="AW83" i="3" s="1"/>
  <c r="BS55" i="2"/>
  <c r="BS51" i="3"/>
  <c r="BS119" i="3"/>
  <c r="BL48" i="3"/>
  <c r="AX48" i="3" s="1"/>
  <c r="BB86" i="3"/>
  <c r="DA129" i="2"/>
  <c r="CO129" i="2" s="1"/>
  <c r="BS126" i="2"/>
  <c r="DH53" i="3"/>
  <c r="BL57" i="3"/>
  <c r="AB88" i="3"/>
  <c r="DH113" i="3"/>
  <c r="CQ117" i="3"/>
  <c r="CQ137" i="3" s="1"/>
  <c r="BS128" i="3"/>
  <c r="BS48" i="3"/>
  <c r="BR48" i="3" s="1"/>
  <c r="CN48" i="3" s="1"/>
  <c r="AX75" i="3"/>
  <c r="BS86" i="3"/>
  <c r="BR86" i="3" s="1"/>
  <c r="CN86" i="3" s="1"/>
  <c r="BB8" i="3"/>
  <c r="DC55" i="3"/>
  <c r="CO55" i="3" s="1"/>
  <c r="BB66" i="3"/>
  <c r="BS11" i="2"/>
  <c r="BL48" i="2"/>
  <c r="AX48" i="2" s="1"/>
  <c r="DC38" i="3"/>
  <c r="CO38" i="3" s="1"/>
  <c r="CS78" i="3"/>
  <c r="BS81" i="3"/>
  <c r="BR81" i="3" s="1"/>
  <c r="CN81" i="3" s="1"/>
  <c r="BS118" i="3"/>
  <c r="AV137" i="3"/>
  <c r="BX20" i="3"/>
  <c r="BB17" i="3"/>
  <c r="CS79" i="3"/>
  <c r="CO79" i="3" s="1"/>
  <c r="BX132" i="3"/>
  <c r="BS65" i="2"/>
  <c r="BR65" i="2" s="1"/>
  <c r="CN65" i="2" s="1"/>
  <c r="BS19" i="3"/>
  <c r="BR19" i="3" s="1"/>
  <c r="CN19" i="3" s="1"/>
  <c r="AN139" i="3"/>
  <c r="BX112" i="3"/>
  <c r="BS123" i="3"/>
  <c r="BS56" i="2"/>
  <c r="BS72" i="2"/>
  <c r="BR72" i="2" s="1"/>
  <c r="CN72" i="2" s="1"/>
  <c r="BL46" i="3"/>
  <c r="AX46" i="3" s="1"/>
  <c r="BS80" i="3"/>
  <c r="BR80" i="3" s="1"/>
  <c r="CN80" i="3" s="1"/>
  <c r="BA115" i="3"/>
  <c r="AB128" i="3"/>
  <c r="BS131" i="3"/>
  <c r="CS126" i="3"/>
  <c r="AG132" i="3"/>
  <c r="AB34" i="2"/>
  <c r="BS34" i="2"/>
  <c r="BS6" i="3"/>
  <c r="BR6" i="3" s="1"/>
  <c r="CN6" i="3" s="1"/>
  <c r="CS14" i="3"/>
  <c r="AB15" i="3"/>
  <c r="AA15" i="3" s="1"/>
  <c r="AW15" i="3" s="1"/>
  <c r="BY20" i="3"/>
  <c r="DC31" i="3"/>
  <c r="CO31" i="3" s="1"/>
  <c r="BS54" i="3"/>
  <c r="BR54" i="3" s="1"/>
  <c r="CN54" i="3" s="1"/>
  <c r="BJ64" i="3"/>
  <c r="AA88" i="3"/>
  <c r="AW88" i="3" s="1"/>
  <c r="BS98" i="3"/>
  <c r="BR98" i="3" s="1"/>
  <c r="CN98" i="3" s="1"/>
  <c r="BS99" i="3"/>
  <c r="BR99" i="3" s="1"/>
  <c r="CN99" i="3" s="1"/>
  <c r="DD101" i="3"/>
  <c r="CO101" i="3" s="1"/>
  <c r="BS102" i="3"/>
  <c r="BR102" i="3" s="1"/>
  <c r="CN102" i="3" s="1"/>
  <c r="BM105" i="3"/>
  <c r="BS120" i="3"/>
  <c r="AB125" i="3"/>
  <c r="AA125" i="3" s="1"/>
  <c r="AW125" i="3" s="1"/>
  <c r="CF132" i="3"/>
  <c r="BG114" i="3"/>
  <c r="BG132" i="3" s="1"/>
  <c r="DH32" i="3"/>
  <c r="CO32" i="3" s="1"/>
  <c r="CS4" i="3"/>
  <c r="CO4" i="3" s="1"/>
  <c r="CS5" i="3"/>
  <c r="AD112" i="3"/>
  <c r="AD134" i="3" s="1"/>
  <c r="BR39" i="2"/>
  <c r="CN39" i="2" s="1"/>
  <c r="DH5" i="3"/>
  <c r="AB8" i="3"/>
  <c r="DB13" i="3"/>
  <c r="DB140" i="3" s="1"/>
  <c r="AB22" i="3"/>
  <c r="CQ52" i="3"/>
  <c r="AZ56" i="3"/>
  <c r="AB69" i="3"/>
  <c r="AA69" i="3" s="1"/>
  <c r="AW69" i="3" s="1"/>
  <c r="BM95" i="3"/>
  <c r="DH104" i="3"/>
  <c r="BS105" i="3"/>
  <c r="AB114" i="3"/>
  <c r="AB124" i="3"/>
  <c r="AA124" i="3" s="1"/>
  <c r="AW124" i="3" s="1"/>
  <c r="BS129" i="3"/>
  <c r="BR129" i="3" s="1"/>
  <c r="CN129" i="3" s="1"/>
  <c r="DH131" i="3"/>
  <c r="AV138" i="3"/>
  <c r="DA82" i="3"/>
  <c r="CO82" i="3" s="1"/>
  <c r="AB5" i="3"/>
  <c r="CQ11" i="3"/>
  <c r="CO11" i="3" s="1"/>
  <c r="AB30" i="3"/>
  <c r="AA30" i="3" s="1"/>
  <c r="AW30" i="3" s="1"/>
  <c r="DC52" i="3"/>
  <c r="BJ91" i="3"/>
  <c r="AB104" i="3"/>
  <c r="BS116" i="3"/>
  <c r="BR116" i="3" s="1"/>
  <c r="CN116" i="3" s="1"/>
  <c r="CG20" i="3"/>
  <c r="CD136" i="3"/>
  <c r="CD143" i="3" s="1"/>
  <c r="CD145" i="3" s="1"/>
  <c r="BS4" i="2"/>
  <c r="BR4" i="2" s="1"/>
  <c r="CN4" i="2" s="1"/>
  <c r="BB88" i="2"/>
  <c r="AX88" i="2" s="1"/>
  <c r="BS4" i="3"/>
  <c r="BR4" i="3" s="1"/>
  <c r="CN4" i="3" s="1"/>
  <c r="CQ9" i="3"/>
  <c r="BQ32" i="3"/>
  <c r="AB41" i="3"/>
  <c r="AA41" i="3" s="1"/>
  <c r="AW41" i="3" s="1"/>
  <c r="BR55" i="3"/>
  <c r="CN55" i="3" s="1"/>
  <c r="AN60" i="3"/>
  <c r="BB73" i="3"/>
  <c r="BR78" i="3"/>
  <c r="CN78" i="3" s="1"/>
  <c r="BS83" i="3"/>
  <c r="BR83" i="3" s="1"/>
  <c r="CN83" i="3" s="1"/>
  <c r="BS88" i="3"/>
  <c r="BR88" i="3" s="1"/>
  <c r="CN88" i="3" s="1"/>
  <c r="AB97" i="3"/>
  <c r="AA97" i="3" s="1"/>
  <c r="AW97" i="3" s="1"/>
  <c r="AB99" i="3"/>
  <c r="BS109" i="3"/>
  <c r="BS111" i="3"/>
  <c r="BR111" i="3" s="1"/>
  <c r="CN111" i="3" s="1"/>
  <c r="AF132" i="3"/>
  <c r="AF134" i="3" s="1"/>
  <c r="AO132" i="3"/>
  <c r="CQ118" i="3"/>
  <c r="CO118" i="3" s="1"/>
  <c r="BB126" i="3"/>
  <c r="BS47" i="3"/>
  <c r="BQ53" i="3"/>
  <c r="AX53" i="3" s="1"/>
  <c r="G56" i="3"/>
  <c r="CQ56" i="3"/>
  <c r="CO56" i="3" s="1"/>
  <c r="Y60" i="3"/>
  <c r="BS61" i="3"/>
  <c r="CS77" i="3"/>
  <c r="CO77" i="3" s="1"/>
  <c r="AB80" i="3"/>
  <c r="AA80" i="3" s="1"/>
  <c r="AW80" i="3" s="1"/>
  <c r="AB81" i="3"/>
  <c r="BJ84" i="3"/>
  <c r="CV112" i="3"/>
  <c r="DD96" i="3"/>
  <c r="CO96" i="3" s="1"/>
  <c r="DD100" i="3"/>
  <c r="G104" i="3"/>
  <c r="AA104" i="3" s="1"/>
  <c r="AW104" i="3" s="1"/>
  <c r="BL108" i="3"/>
  <c r="BL144" i="3" s="1"/>
  <c r="AB111" i="3"/>
  <c r="AA111" i="3" s="1"/>
  <c r="AW111" i="3" s="1"/>
  <c r="AZ118" i="3"/>
  <c r="G120" i="3"/>
  <c r="CO129" i="3"/>
  <c r="AP132" i="3"/>
  <c r="CG132" i="3"/>
  <c r="AA66" i="3"/>
  <c r="AW66" i="3" s="1"/>
  <c r="AA108" i="3"/>
  <c r="AW108" i="3" s="1"/>
  <c r="BR9" i="3"/>
  <c r="CN9" i="3" s="1"/>
  <c r="CS19" i="3"/>
  <c r="DH36" i="3"/>
  <c r="CO36" i="3" s="1"/>
  <c r="DH54" i="3"/>
  <c r="CO54" i="3" s="1"/>
  <c r="CS76" i="3"/>
  <c r="BL136" i="3"/>
  <c r="CV113" i="3"/>
  <c r="CY116" i="3"/>
  <c r="CY137" i="3" s="1"/>
  <c r="AA128" i="3"/>
  <c r="AW128" i="3" s="1"/>
  <c r="N132" i="3"/>
  <c r="BG20" i="3"/>
  <c r="BB19" i="3"/>
  <c r="AJ134" i="3"/>
  <c r="AA28" i="3"/>
  <c r="AW28" i="3" s="1"/>
  <c r="BL31" i="3"/>
  <c r="AX31" i="3" s="1"/>
  <c r="AA33" i="3"/>
  <c r="AW33" i="3" s="1"/>
  <c r="BH20" i="3"/>
  <c r="BQ7" i="3"/>
  <c r="G8" i="3"/>
  <c r="G9" i="3"/>
  <c r="AZ9" i="3"/>
  <c r="BS15" i="3"/>
  <c r="BR15" i="3" s="1"/>
  <c r="CN15" i="3" s="1"/>
  <c r="CS18" i="3"/>
  <c r="CO18" i="3" s="1"/>
  <c r="AK134" i="3"/>
  <c r="CB134" i="3"/>
  <c r="AZ25" i="3"/>
  <c r="AX25" i="3" s="1"/>
  <c r="BR28" i="3"/>
  <c r="CN28" i="3" s="1"/>
  <c r="AB52" i="3"/>
  <c r="BQ68" i="3"/>
  <c r="AX68" i="3" s="1"/>
  <c r="CO78" i="3"/>
  <c r="AX81" i="3"/>
  <c r="AO93" i="3"/>
  <c r="CO89" i="3"/>
  <c r="CO92" i="3"/>
  <c r="BP112" i="3"/>
  <c r="DD105" i="3"/>
  <c r="AB107" i="3"/>
  <c r="AA107" i="3" s="1"/>
  <c r="AW107" i="3" s="1"/>
  <c r="BE113" i="3"/>
  <c r="BE136" i="3" s="1"/>
  <c r="BE137" i="3"/>
  <c r="DH120" i="3"/>
  <c r="G125" i="3"/>
  <c r="G142" i="3" s="1"/>
  <c r="BQ131" i="3"/>
  <c r="S132" i="3"/>
  <c r="BM100" i="3"/>
  <c r="AX100" i="3" s="1"/>
  <c r="AZ6" i="3"/>
  <c r="BB79" i="3"/>
  <c r="AX79" i="3" s="1"/>
  <c r="BR95" i="3"/>
  <c r="CN95" i="3" s="1"/>
  <c r="BL138" i="3"/>
  <c r="CQ50" i="3"/>
  <c r="CS66" i="3"/>
  <c r="BV137" i="3"/>
  <c r="BB130" i="3"/>
  <c r="AX130" i="3" s="1"/>
  <c r="T132" i="3"/>
  <c r="CO87" i="3"/>
  <c r="CR115" i="3"/>
  <c r="AH141" i="3"/>
  <c r="AH143" i="3" s="1"/>
  <c r="AH145" i="3" s="1"/>
  <c r="Z138" i="3"/>
  <c r="CS12" i="3"/>
  <c r="CO12" i="3" s="1"/>
  <c r="DH13" i="3"/>
  <c r="BC13" i="3"/>
  <c r="BC140" i="3" s="1"/>
  <c r="Z20" i="3"/>
  <c r="CQ25" i="3"/>
  <c r="CO25" i="3" s="1"/>
  <c r="BL29" i="3"/>
  <c r="AX29" i="3" s="1"/>
  <c r="AB36" i="3"/>
  <c r="AA36" i="3" s="1"/>
  <c r="AW36" i="3" s="1"/>
  <c r="AZ52" i="3"/>
  <c r="AH60" i="3"/>
  <c r="DH62" i="3"/>
  <c r="CO62" i="3" s="1"/>
  <c r="BS66" i="3"/>
  <c r="BR66" i="3" s="1"/>
  <c r="CN66" i="3" s="1"/>
  <c r="CS73" i="3"/>
  <c r="CO73" i="3" s="1"/>
  <c r="CO76" i="3"/>
  <c r="BR77" i="3"/>
  <c r="CN77" i="3" s="1"/>
  <c r="BR79" i="3"/>
  <c r="CN79" i="3" s="1"/>
  <c r="AA87" i="3"/>
  <c r="AW87" i="3" s="1"/>
  <c r="BQ102" i="3"/>
  <c r="BR107" i="3"/>
  <c r="CN107" i="3" s="1"/>
  <c r="BR110" i="3"/>
  <c r="CN110" i="3" s="1"/>
  <c r="AV136" i="3"/>
  <c r="BI136" i="3"/>
  <c r="BI137" i="3"/>
  <c r="CC132" i="3"/>
  <c r="CC134" i="3" s="1"/>
  <c r="BQ54" i="3"/>
  <c r="AX54" i="3" s="1"/>
  <c r="BR128" i="3"/>
  <c r="CN128" i="3" s="1"/>
  <c r="BD138" i="3"/>
  <c r="BS13" i="3"/>
  <c r="BR13" i="3" s="1"/>
  <c r="CN13" i="3" s="1"/>
  <c r="BB15" i="3"/>
  <c r="AX15" i="3" s="1"/>
  <c r="BS84" i="3"/>
  <c r="BR84" i="3" s="1"/>
  <c r="CN84" i="3" s="1"/>
  <c r="AB9" i="3"/>
  <c r="AA9" i="3" s="1"/>
  <c r="AW9" i="3" s="1"/>
  <c r="AB12" i="3"/>
  <c r="AA12" i="3" s="1"/>
  <c r="AW12" i="3" s="1"/>
  <c r="AA14" i="3"/>
  <c r="AW14" i="3" s="1"/>
  <c r="AB35" i="3"/>
  <c r="AA35" i="3" s="1"/>
  <c r="AW35" i="3" s="1"/>
  <c r="L60" i="3"/>
  <c r="AB61" i="3"/>
  <c r="BS63" i="3"/>
  <c r="BR63" i="3" s="1"/>
  <c r="CN63" i="3" s="1"/>
  <c r="BI66" i="3"/>
  <c r="BI93" i="3" s="1"/>
  <c r="DH69" i="3"/>
  <c r="CO69" i="3" s="1"/>
  <c r="CS71" i="3"/>
  <c r="CO71" i="3" s="1"/>
  <c r="DH75" i="3"/>
  <c r="CO75" i="3" s="1"/>
  <c r="DA85" i="3"/>
  <c r="CO85" i="3" s="1"/>
  <c r="AA86" i="3"/>
  <c r="AW86" i="3" s="1"/>
  <c r="BI112" i="3"/>
  <c r="AQ112" i="3"/>
  <c r="CO102" i="3"/>
  <c r="AV112" i="3"/>
  <c r="AY106" i="3"/>
  <c r="CQ110" i="3"/>
  <c r="AB123" i="3"/>
  <c r="CS130" i="3"/>
  <c r="CO130" i="3" s="1"/>
  <c r="CS131" i="3"/>
  <c r="CD132" i="3"/>
  <c r="CD134" i="3" s="1"/>
  <c r="BF132" i="3"/>
  <c r="AX123" i="3"/>
  <c r="AA130" i="3"/>
  <c r="AW130" i="3" s="1"/>
  <c r="BR131" i="3"/>
  <c r="CN131" i="3" s="1"/>
  <c r="CO127" i="3"/>
  <c r="BP136" i="3"/>
  <c r="BP137" i="3"/>
  <c r="CO119" i="3"/>
  <c r="BR109" i="3"/>
  <c r="CN109" i="3" s="1"/>
  <c r="CW112" i="3"/>
  <c r="AI134" i="3"/>
  <c r="BK112" i="3"/>
  <c r="CR112" i="3"/>
  <c r="AA100" i="3"/>
  <c r="AW100" i="3" s="1"/>
  <c r="BR108" i="3"/>
  <c r="CN108" i="3" s="1"/>
  <c r="CV144" i="3"/>
  <c r="BD112" i="3"/>
  <c r="AX107" i="3"/>
  <c r="CW93" i="3"/>
  <c r="AX71" i="3"/>
  <c r="AX83" i="3"/>
  <c r="AX70" i="3"/>
  <c r="AA76" i="3"/>
  <c r="AW76" i="3" s="1"/>
  <c r="Y134" i="3"/>
  <c r="DB93" i="3"/>
  <c r="AA73" i="3"/>
  <c r="AW73" i="3" s="1"/>
  <c r="AA77" i="3"/>
  <c r="AW77" i="3" s="1"/>
  <c r="BR82" i="3"/>
  <c r="CN82" i="3" s="1"/>
  <c r="CO86" i="3"/>
  <c r="V143" i="3"/>
  <c r="AJ143" i="3"/>
  <c r="AJ145" i="3" s="1"/>
  <c r="CO64" i="3"/>
  <c r="AX88" i="3"/>
  <c r="BH93" i="3"/>
  <c r="BR69" i="3"/>
  <c r="CN69" i="3" s="1"/>
  <c r="BR76" i="3"/>
  <c r="CN76" i="3" s="1"/>
  <c r="CO81" i="3"/>
  <c r="AX77" i="3"/>
  <c r="W134" i="3"/>
  <c r="AA68" i="3"/>
  <c r="AW68" i="3" s="1"/>
  <c r="BR71" i="3"/>
  <c r="CN71" i="3" s="1"/>
  <c r="BP139" i="3"/>
  <c r="CO46" i="3"/>
  <c r="CO48" i="3"/>
  <c r="BR51" i="3"/>
  <c r="CN51" i="3" s="1"/>
  <c r="BR24" i="3"/>
  <c r="CN24" i="3" s="1"/>
  <c r="BR33" i="3"/>
  <c r="CN33" i="3" s="1"/>
  <c r="BR38" i="3"/>
  <c r="CN38" i="3" s="1"/>
  <c r="AA42" i="3"/>
  <c r="AW42" i="3" s="1"/>
  <c r="AA54" i="3"/>
  <c r="AW54" i="3" s="1"/>
  <c r="BD139" i="3"/>
  <c r="AX22" i="3"/>
  <c r="BR25" i="3"/>
  <c r="CN25" i="3" s="1"/>
  <c r="BR32" i="3"/>
  <c r="CN32" i="3" s="1"/>
  <c r="CO42" i="3"/>
  <c r="BO60" i="3"/>
  <c r="BR50" i="3"/>
  <c r="CN50" i="3" s="1"/>
  <c r="BZ143" i="3"/>
  <c r="BZ145" i="3" s="1"/>
  <c r="AA22" i="3"/>
  <c r="AW22" i="3" s="1"/>
  <c r="AX41" i="3"/>
  <c r="AA48" i="3"/>
  <c r="AW48" i="3" s="1"/>
  <c r="DB139" i="3"/>
  <c r="AA51" i="3"/>
  <c r="AW51" i="3" s="1"/>
  <c r="CO53" i="3"/>
  <c r="BE60" i="3"/>
  <c r="T134" i="3"/>
  <c r="BZ134" i="3"/>
  <c r="BH60" i="3"/>
  <c r="DD60" i="3"/>
  <c r="AX32" i="3"/>
  <c r="CR60" i="3"/>
  <c r="CO50" i="3"/>
  <c r="AX55" i="3"/>
  <c r="AX35" i="3"/>
  <c r="BP60" i="3"/>
  <c r="AX28" i="3"/>
  <c r="AA45" i="3"/>
  <c r="AW45" i="3" s="1"/>
  <c r="BM60" i="3"/>
  <c r="CA134" i="3"/>
  <c r="CO22" i="3"/>
  <c r="AA26" i="3"/>
  <c r="AW26" i="3" s="1"/>
  <c r="BR36" i="3"/>
  <c r="CN36" i="3" s="1"/>
  <c r="AA57" i="3"/>
  <c r="AW57" i="3" s="1"/>
  <c r="BF20" i="3"/>
  <c r="BP20" i="3"/>
  <c r="BJ138" i="3"/>
  <c r="AX12" i="3"/>
  <c r="T143" i="3"/>
  <c r="T145" i="3" s="1"/>
  <c r="CV20" i="3"/>
  <c r="CZ20" i="3"/>
  <c r="BC138" i="3"/>
  <c r="BK138" i="3"/>
  <c r="BR11" i="3"/>
  <c r="CN11" i="3" s="1"/>
  <c r="BR16" i="3"/>
  <c r="CN16" i="3" s="1"/>
  <c r="CC143" i="3"/>
  <c r="CC145" i="3" s="1"/>
  <c r="AI143" i="3"/>
  <c r="AI145" i="3" s="1"/>
  <c r="DF20" i="3"/>
  <c r="CO16" i="3"/>
  <c r="N143" i="3"/>
  <c r="N145" i="3" s="1"/>
  <c r="X143" i="3"/>
  <c r="X145" i="3" s="1"/>
  <c r="AK143" i="3"/>
  <c r="AK145" i="3" s="1"/>
  <c r="CG143" i="3"/>
  <c r="CG145" i="3" s="1"/>
  <c r="AA5" i="3"/>
  <c r="AW5" i="3" s="1"/>
  <c r="CP20" i="3"/>
  <c r="BG138" i="3"/>
  <c r="AX18" i="3"/>
  <c r="P143" i="3"/>
  <c r="P145" i="3" s="1"/>
  <c r="AC143" i="3"/>
  <c r="AC145" i="3" s="1"/>
  <c r="H143" i="3"/>
  <c r="BA140" i="3"/>
  <c r="BO140" i="3"/>
  <c r="CX138" i="3"/>
  <c r="DG138" i="3"/>
  <c r="BT143" i="3"/>
  <c r="BT145" i="3" s="1"/>
  <c r="AX21" i="3"/>
  <c r="AA10" i="3"/>
  <c r="AW10" i="3" s="1"/>
  <c r="AB38" i="3"/>
  <c r="AA38" i="3" s="1"/>
  <c r="AW38" i="3" s="1"/>
  <c r="BL38" i="3"/>
  <c r="AX38" i="3" s="1"/>
  <c r="BM140" i="3"/>
  <c r="BM93" i="3"/>
  <c r="AX17" i="3"/>
  <c r="AV60" i="3"/>
  <c r="G90" i="3"/>
  <c r="BR90" i="3" s="1"/>
  <c r="CN90" i="3" s="1"/>
  <c r="BQ90" i="3"/>
  <c r="DH90" i="3"/>
  <c r="CO90" i="3" s="1"/>
  <c r="BD140" i="3"/>
  <c r="BD20" i="3"/>
  <c r="BL20" i="3"/>
  <c r="BR10" i="3"/>
  <c r="CN10" i="3" s="1"/>
  <c r="CF140" i="3"/>
  <c r="DA15" i="3"/>
  <c r="DA20" i="3" s="1"/>
  <c r="BF139" i="3"/>
  <c r="BF60" i="3"/>
  <c r="CV60" i="3"/>
  <c r="CM139" i="3"/>
  <c r="DH23" i="3"/>
  <c r="CM60" i="3"/>
  <c r="BS23" i="3"/>
  <c r="DC37" i="3"/>
  <c r="CO37" i="3" s="1"/>
  <c r="CF139" i="3"/>
  <c r="DA39" i="3"/>
  <c r="CO39" i="3" s="1"/>
  <c r="BS39" i="3"/>
  <c r="BR39" i="3" s="1"/>
  <c r="CN39" i="3" s="1"/>
  <c r="CF60" i="3"/>
  <c r="G44" i="3"/>
  <c r="AA44" i="3" s="1"/>
  <c r="AW44" i="3" s="1"/>
  <c r="BL44" i="3"/>
  <c r="AX44" i="3" s="1"/>
  <c r="DC58" i="3"/>
  <c r="BS58" i="3"/>
  <c r="BR58" i="3" s="1"/>
  <c r="CN58" i="3" s="1"/>
  <c r="DC93" i="3"/>
  <c r="AA67" i="3"/>
  <c r="AW67" i="3" s="1"/>
  <c r="BB89" i="3"/>
  <c r="AX89" i="3" s="1"/>
  <c r="AB89" i="3"/>
  <c r="AA89" i="3" s="1"/>
  <c r="AW89" i="3" s="1"/>
  <c r="DG20" i="3"/>
  <c r="CQ5" i="3"/>
  <c r="AE138" i="3"/>
  <c r="AE20" i="3"/>
  <c r="AP140" i="3"/>
  <c r="AP143" i="3" s="1"/>
  <c r="AP145" i="3" s="1"/>
  <c r="AP20" i="3"/>
  <c r="CS17" i="3"/>
  <c r="CO17" i="3" s="1"/>
  <c r="BR21" i="3"/>
  <c r="CN21" i="3" s="1"/>
  <c r="CQ24" i="3"/>
  <c r="CO24" i="3" s="1"/>
  <c r="AX39" i="3"/>
  <c r="AX42" i="3"/>
  <c r="AA56" i="3"/>
  <c r="AW56" i="3" s="1"/>
  <c r="DH59" i="3"/>
  <c r="CO59" i="3" s="1"/>
  <c r="BQ59" i="3"/>
  <c r="AX59" i="3" s="1"/>
  <c r="G59" i="3"/>
  <c r="BR59" i="3" s="1"/>
  <c r="CN59" i="3" s="1"/>
  <c r="AO60" i="3"/>
  <c r="AY141" i="3"/>
  <c r="BQ67" i="3"/>
  <c r="AX67" i="3" s="1"/>
  <c r="AX73" i="3"/>
  <c r="AR144" i="3"/>
  <c r="AB94" i="3"/>
  <c r="AR112" i="3"/>
  <c r="AR134" i="3" s="1"/>
  <c r="AB40" i="3"/>
  <c r="AA40" i="3" s="1"/>
  <c r="AW40" i="3" s="1"/>
  <c r="BJ40" i="3"/>
  <c r="BD60" i="3"/>
  <c r="S141" i="3"/>
  <c r="S143" i="3" s="1"/>
  <c r="S145" i="3" s="1"/>
  <c r="S93" i="3"/>
  <c r="S134" i="3" s="1"/>
  <c r="BJ65" i="3"/>
  <c r="DA65" i="3"/>
  <c r="AX30" i="3"/>
  <c r="BQ36" i="3"/>
  <c r="AX36" i="3" s="1"/>
  <c r="AA4" i="3"/>
  <c r="AW4" i="3" s="1"/>
  <c r="BF138" i="3"/>
  <c r="BP138" i="3"/>
  <c r="CU138" i="3"/>
  <c r="DC138" i="3"/>
  <c r="BB10" i="3"/>
  <c r="BH139" i="3"/>
  <c r="U139" i="3"/>
  <c r="G27" i="3"/>
  <c r="BR27" i="3" s="1"/>
  <c r="CN27" i="3" s="1"/>
  <c r="U60" i="3"/>
  <c r="DC27" i="3"/>
  <c r="AY20" i="3"/>
  <c r="CR140" i="3"/>
  <c r="CZ140" i="3"/>
  <c r="BB6" i="3"/>
  <c r="CV138" i="3"/>
  <c r="DD138" i="3"/>
  <c r="AX14" i="3"/>
  <c r="AB18" i="3"/>
  <c r="AB50" i="3"/>
  <c r="AA50" i="3" s="1"/>
  <c r="AW50" i="3" s="1"/>
  <c r="AZ50" i="3"/>
  <c r="AX50" i="3" s="1"/>
  <c r="AX57" i="3"/>
  <c r="AB58" i="3"/>
  <c r="AA58" i="3" s="1"/>
  <c r="AW58" i="3" s="1"/>
  <c r="AY93" i="3"/>
  <c r="BJ140" i="3"/>
  <c r="BJ20" i="3"/>
  <c r="BE141" i="3"/>
  <c r="BE93" i="3"/>
  <c r="CH132" i="3"/>
  <c r="DC126" i="3"/>
  <c r="DC140" i="3" s="1"/>
  <c r="CH140" i="3"/>
  <c r="DD140" i="3"/>
  <c r="BE139" i="3"/>
  <c r="AG138" i="3"/>
  <c r="CM138" i="3"/>
  <c r="DH9" i="3"/>
  <c r="CK134" i="3"/>
  <c r="DD20" i="3"/>
  <c r="BV60" i="3"/>
  <c r="BL27" i="3"/>
  <c r="DB60" i="3"/>
  <c r="CF141" i="3"/>
  <c r="CF93" i="3"/>
  <c r="BS64" i="3"/>
  <c r="AX69" i="3"/>
  <c r="BB78" i="3"/>
  <c r="AX78" i="3" s="1"/>
  <c r="AB78" i="3"/>
  <c r="AA78" i="3" s="1"/>
  <c r="AW78" i="3" s="1"/>
  <c r="BS91" i="3"/>
  <c r="BR91" i="3" s="1"/>
  <c r="CN91" i="3" s="1"/>
  <c r="DA91" i="3"/>
  <c r="CO91" i="3" s="1"/>
  <c r="AX4" i="3"/>
  <c r="BH140" i="3"/>
  <c r="DA140" i="3"/>
  <c r="I140" i="3"/>
  <c r="AZ5" i="3"/>
  <c r="BR5" i="3"/>
  <c r="CN5" i="3" s="1"/>
  <c r="AA6" i="3"/>
  <c r="AW6" i="3" s="1"/>
  <c r="CQ6" i="3"/>
  <c r="CO6" i="3" s="1"/>
  <c r="BV138" i="3"/>
  <c r="BV20" i="3"/>
  <c r="BS8" i="3"/>
  <c r="BR8" i="3" s="1"/>
  <c r="CN8" i="3" s="1"/>
  <c r="CS10" i="3"/>
  <c r="CO10" i="3" s="1"/>
  <c r="I20" i="3"/>
  <c r="CR139" i="3"/>
  <c r="I139" i="3"/>
  <c r="G23" i="3"/>
  <c r="CQ23" i="3"/>
  <c r="I60" i="3"/>
  <c r="CO35" i="3"/>
  <c r="DA41" i="3"/>
  <c r="BS41" i="3"/>
  <c r="BR41" i="3" s="1"/>
  <c r="CN41" i="3" s="1"/>
  <c r="DC44" i="3"/>
  <c r="CO44" i="3" s="1"/>
  <c r="AX47" i="3"/>
  <c r="CO47" i="3"/>
  <c r="AZ51" i="3"/>
  <c r="AX51" i="3" s="1"/>
  <c r="BS56" i="3"/>
  <c r="BR56" i="3" s="1"/>
  <c r="CN56" i="3" s="1"/>
  <c r="L141" i="3"/>
  <c r="L143" i="3" s="1"/>
  <c r="L145" i="3" s="1"/>
  <c r="L93" i="3"/>
  <c r="L134" i="3" s="1"/>
  <c r="BC61" i="3"/>
  <c r="AX61" i="3" s="1"/>
  <c r="CT61" i="3"/>
  <c r="CO61" i="3" s="1"/>
  <c r="G61" i="3"/>
  <c r="BR61" i="3" s="1"/>
  <c r="CN61" i="3" s="1"/>
  <c r="CP141" i="3"/>
  <c r="CP93" i="3"/>
  <c r="CY141" i="3"/>
  <c r="CY93" i="3"/>
  <c r="BS68" i="3"/>
  <c r="BR68" i="3" s="1"/>
  <c r="CN68" i="3" s="1"/>
  <c r="CM93" i="3"/>
  <c r="DH68" i="3"/>
  <c r="AZ93" i="3"/>
  <c r="CP136" i="3"/>
  <c r="CP132" i="3"/>
  <c r="BW136" i="3"/>
  <c r="BW143" i="3" s="1"/>
  <c r="BW145" i="3" s="1"/>
  <c r="BW132" i="3"/>
  <c r="BS114" i="3"/>
  <c r="CR114" i="3"/>
  <c r="AE139" i="3"/>
  <c r="AE60" i="3"/>
  <c r="AB21" i="3"/>
  <c r="DE139" i="3"/>
  <c r="DE143" i="3" s="1"/>
  <c r="DE145" i="3" s="1"/>
  <c r="DE60" i="3"/>
  <c r="DE134" i="3" s="1"/>
  <c r="AO139" i="3"/>
  <c r="AB39" i="3"/>
  <c r="AA39" i="3" s="1"/>
  <c r="AW39" i="3" s="1"/>
  <c r="CO57" i="3"/>
  <c r="AA72" i="3"/>
  <c r="AW72" i="3" s="1"/>
  <c r="Z144" i="3"/>
  <c r="BQ97" i="3"/>
  <c r="Z112" i="3"/>
  <c r="DH97" i="3"/>
  <c r="G97" i="3"/>
  <c r="CV140" i="3"/>
  <c r="CP138" i="3"/>
  <c r="AX27" i="3"/>
  <c r="AX76" i="3"/>
  <c r="BA20" i="3"/>
  <c r="BI140" i="3"/>
  <c r="BI20" i="3"/>
  <c r="K140" i="3"/>
  <c r="BB5" i="3"/>
  <c r="K20" i="3"/>
  <c r="AZ7" i="3"/>
  <c r="CQ7" i="3"/>
  <c r="G7" i="3"/>
  <c r="BR7" i="3" s="1"/>
  <c r="CN7" i="3" s="1"/>
  <c r="G138" i="3"/>
  <c r="BI138" i="3"/>
  <c r="BX138" i="3"/>
  <c r="AZ11" i="3"/>
  <c r="AX11" i="3" s="1"/>
  <c r="AB11" i="3"/>
  <c r="AA11" i="3" s="1"/>
  <c r="AW11" i="3" s="1"/>
  <c r="BR14" i="3"/>
  <c r="CN14" i="3" s="1"/>
  <c r="CS139" i="3"/>
  <c r="CS60" i="3"/>
  <c r="BL37" i="3"/>
  <c r="AX37" i="3" s="1"/>
  <c r="G37" i="3"/>
  <c r="AA37" i="3" s="1"/>
  <c r="AW37" i="3" s="1"/>
  <c r="CO40" i="3"/>
  <c r="G49" i="3"/>
  <c r="AA49" i="3" s="1"/>
  <c r="AW49" i="3" s="1"/>
  <c r="BQ49" i="3"/>
  <c r="AX49" i="3" s="1"/>
  <c r="CO51" i="3"/>
  <c r="CQ141" i="3"/>
  <c r="G62" i="3"/>
  <c r="Z93" i="3"/>
  <c r="BQ62" i="3"/>
  <c r="AX62" i="3" s="1"/>
  <c r="CO63" i="3"/>
  <c r="K141" i="3"/>
  <c r="G65" i="3"/>
  <c r="BR65" i="3" s="1"/>
  <c r="CN65" i="3" s="1"/>
  <c r="K93" i="3"/>
  <c r="BB65" i="3"/>
  <c r="CS65" i="3"/>
  <c r="DH67" i="3"/>
  <c r="CO67" i="3" s="1"/>
  <c r="AG93" i="3"/>
  <c r="CQ93" i="3"/>
  <c r="AY132" i="3"/>
  <c r="AY136" i="3"/>
  <c r="BF141" i="3"/>
  <c r="BF93" i="3"/>
  <c r="BP141" i="3"/>
  <c r="BP93" i="3"/>
  <c r="AA62" i="3"/>
  <c r="AW62" i="3" s="1"/>
  <c r="AX64" i="3"/>
  <c r="AA71" i="3"/>
  <c r="AW71" i="3" s="1"/>
  <c r="CO83" i="3"/>
  <c r="AX86" i="3"/>
  <c r="BF144" i="3"/>
  <c r="BF112" i="3"/>
  <c r="DB112" i="3"/>
  <c r="DH103" i="3"/>
  <c r="CO103" i="3" s="1"/>
  <c r="BS103" i="3"/>
  <c r="BR103" i="3" s="1"/>
  <c r="CN103" i="3" s="1"/>
  <c r="AG112" i="3"/>
  <c r="AG144" i="3"/>
  <c r="BB105" i="3"/>
  <c r="BB112" i="3" s="1"/>
  <c r="M136" i="3"/>
  <c r="M143" i="3" s="1"/>
  <c r="M145" i="3" s="1"/>
  <c r="CU113" i="3"/>
  <c r="M132" i="3"/>
  <c r="M134" i="3" s="1"/>
  <c r="BD113" i="3"/>
  <c r="AZ136" i="3"/>
  <c r="BK140" i="3"/>
  <c r="BX140" i="3"/>
  <c r="CU140" i="3"/>
  <c r="CU20" i="3"/>
  <c r="DC20" i="3"/>
  <c r="Z140" i="3"/>
  <c r="BE138" i="3"/>
  <c r="BN138" i="3"/>
  <c r="BM138" i="3"/>
  <c r="CW138" i="3"/>
  <c r="DF138" i="3"/>
  <c r="AX16" i="3"/>
  <c r="DH19" i="3"/>
  <c r="DH140" i="3" s="1"/>
  <c r="AY139" i="3"/>
  <c r="AY60" i="3"/>
  <c r="BG139" i="3"/>
  <c r="BG60" i="3"/>
  <c r="CU60" i="3"/>
  <c r="AQ60" i="3"/>
  <c r="CO28" i="3"/>
  <c r="DC29" i="3"/>
  <c r="CO29" i="3" s="1"/>
  <c r="AS139" i="3"/>
  <c r="AS143" i="3" s="1"/>
  <c r="AS145" i="3" s="1"/>
  <c r="AS60" i="3"/>
  <c r="AS134" i="3" s="1"/>
  <c r="BN34" i="3"/>
  <c r="AX34" i="3" s="1"/>
  <c r="DG41" i="3"/>
  <c r="DG139" i="3" s="1"/>
  <c r="BR45" i="3"/>
  <c r="CN45" i="3" s="1"/>
  <c r="DC45" i="3"/>
  <c r="CO45" i="3" s="1"/>
  <c r="G52" i="3"/>
  <c r="BR52" i="3" s="1"/>
  <c r="CN52" i="3" s="1"/>
  <c r="AA53" i="3"/>
  <c r="AW53" i="3" s="1"/>
  <c r="BG141" i="3"/>
  <c r="BG93" i="3"/>
  <c r="AA63" i="3"/>
  <c r="AW63" i="3" s="1"/>
  <c r="AG141" i="3"/>
  <c r="AB65" i="3"/>
  <c r="AA65" i="3" s="1"/>
  <c r="AW65" i="3" s="1"/>
  <c r="AB75" i="3"/>
  <c r="AA75" i="3" s="1"/>
  <c r="AW75" i="3" s="1"/>
  <c r="BG144" i="3"/>
  <c r="BG112" i="3"/>
  <c r="BR94" i="3"/>
  <c r="CN94" i="3" s="1"/>
  <c r="CU144" i="3"/>
  <c r="CU112" i="3"/>
  <c r="CO98" i="3"/>
  <c r="DF136" i="3"/>
  <c r="CM132" i="3"/>
  <c r="CO72" i="3"/>
  <c r="CO80" i="3"/>
  <c r="BS106" i="3"/>
  <c r="CP106" i="3"/>
  <c r="AB110" i="3"/>
  <c r="AA110" i="3" s="1"/>
  <c r="AW110" i="3" s="1"/>
  <c r="AZ110" i="3"/>
  <c r="AX110" i="3" s="1"/>
  <c r="BE140" i="3"/>
  <c r="BE20" i="3"/>
  <c r="BM139" i="3"/>
  <c r="BM20" i="3"/>
  <c r="CW140" i="3"/>
  <c r="DF140" i="3"/>
  <c r="CS7" i="3"/>
  <c r="AY138" i="3"/>
  <c r="CQ8" i="3"/>
  <c r="CY138" i="3"/>
  <c r="DH138" i="3"/>
  <c r="AX10" i="3"/>
  <c r="BQ13" i="3"/>
  <c r="AO140" i="3"/>
  <c r="AO20" i="3"/>
  <c r="AB19" i="3"/>
  <c r="AA19" i="3" s="1"/>
  <c r="AW19" i="3" s="1"/>
  <c r="BT134" i="3"/>
  <c r="CW20" i="3"/>
  <c r="BA139" i="3"/>
  <c r="BA60" i="3"/>
  <c r="BI60" i="3"/>
  <c r="BV139" i="3"/>
  <c r="CW60" i="3"/>
  <c r="DF60" i="3"/>
  <c r="BS22" i="3"/>
  <c r="BR22" i="3" s="1"/>
  <c r="CN22" i="3" s="1"/>
  <c r="AB24" i="3"/>
  <c r="AA24" i="3" s="1"/>
  <c r="AW24" i="3" s="1"/>
  <c r="CH139" i="3"/>
  <c r="CH60" i="3"/>
  <c r="DC26" i="3"/>
  <c r="CO26" i="3" s="1"/>
  <c r="G29" i="3"/>
  <c r="AA29" i="3" s="1"/>
  <c r="AW29" i="3" s="1"/>
  <c r="AB31" i="3"/>
  <c r="BQ40" i="3"/>
  <c r="AX43" i="3"/>
  <c r="CV93" i="3"/>
  <c r="AX63" i="3"/>
  <c r="BR67" i="3"/>
  <c r="CN67" i="3" s="1"/>
  <c r="AA79" i="3"/>
  <c r="AW79" i="3" s="1"/>
  <c r="AX80" i="3"/>
  <c r="AA81" i="3"/>
  <c r="AW81" i="3" s="1"/>
  <c r="BB91" i="3"/>
  <c r="AB91" i="3"/>
  <c r="AA91" i="3" s="1"/>
  <c r="AW91" i="3" s="1"/>
  <c r="BA144" i="3"/>
  <c r="BI144" i="3"/>
  <c r="DG144" i="3"/>
  <c r="DG112" i="3"/>
  <c r="AA98" i="3"/>
  <c r="AW98" i="3" s="1"/>
  <c r="AX99" i="3"/>
  <c r="BR101" i="3"/>
  <c r="CN101" i="3" s="1"/>
  <c r="AL143" i="3"/>
  <c r="AL145" i="3" s="1"/>
  <c r="BH115" i="3"/>
  <c r="G115" i="3"/>
  <c r="BR115" i="3" s="1"/>
  <c r="CN115" i="3" s="1"/>
  <c r="CY115" i="3"/>
  <c r="BL102" i="3"/>
  <c r="AB102" i="3"/>
  <c r="AA102" i="3" s="1"/>
  <c r="AW102" i="3" s="1"/>
  <c r="BF140" i="3"/>
  <c r="CP140" i="3"/>
  <c r="CX140" i="3"/>
  <c r="DG140" i="3"/>
  <c r="AG140" i="3"/>
  <c r="AG20" i="3"/>
  <c r="CM140" i="3"/>
  <c r="CM20" i="3"/>
  <c r="K138" i="3"/>
  <c r="AZ8" i="3"/>
  <c r="BH138" i="3"/>
  <c r="CR138" i="3"/>
  <c r="CZ138" i="3"/>
  <c r="AB13" i="3"/>
  <c r="AA13" i="3" s="1"/>
  <c r="AW13" i="3" s="1"/>
  <c r="CT13" i="3"/>
  <c r="CT20" i="3" s="1"/>
  <c r="CX20" i="3"/>
  <c r="CP139" i="3"/>
  <c r="CP60" i="3"/>
  <c r="CX139" i="3"/>
  <c r="CX60" i="3"/>
  <c r="AV139" i="3"/>
  <c r="BQ23" i="3"/>
  <c r="CE139" i="3"/>
  <c r="CE143" i="3" s="1"/>
  <c r="CE145" i="3" s="1"/>
  <c r="BS30" i="3"/>
  <c r="BR30" i="3" s="1"/>
  <c r="CN30" i="3" s="1"/>
  <c r="CZ30" i="3"/>
  <c r="CE60" i="3"/>
  <c r="Z60" i="3"/>
  <c r="DC34" i="3"/>
  <c r="CO34" i="3" s="1"/>
  <c r="R139" i="3"/>
  <c r="R143" i="3" s="1"/>
  <c r="R145" i="3" s="1"/>
  <c r="CZ43" i="3"/>
  <c r="CO43" i="3" s="1"/>
  <c r="G43" i="3"/>
  <c r="BR43" i="3" s="1"/>
  <c r="CN43" i="3" s="1"/>
  <c r="R60" i="3"/>
  <c r="R134" i="3" s="1"/>
  <c r="BR47" i="3"/>
  <c r="CN47" i="3" s="1"/>
  <c r="DC49" i="3"/>
  <c r="CO49" i="3" s="1"/>
  <c r="BR53" i="3"/>
  <c r="CN53" i="3" s="1"/>
  <c r="AX56" i="3"/>
  <c r="CJ60" i="3"/>
  <c r="CJ134" i="3" s="1"/>
  <c r="BA141" i="3"/>
  <c r="BA93" i="3"/>
  <c r="CW141" i="3"/>
  <c r="DF141" i="3"/>
  <c r="DF93" i="3"/>
  <c r="BR62" i="3"/>
  <c r="CN62" i="3" s="1"/>
  <c r="DA70" i="3"/>
  <c r="CO70" i="3" s="1"/>
  <c r="BS70" i="3"/>
  <c r="BR70" i="3" s="1"/>
  <c r="CN70" i="3" s="1"/>
  <c r="BR75" i="3"/>
  <c r="CN75" i="3" s="1"/>
  <c r="BB84" i="3"/>
  <c r="AB84" i="3"/>
  <c r="AA84" i="3" s="1"/>
  <c r="AW84" i="3" s="1"/>
  <c r="DA84" i="3"/>
  <c r="CO84" i="3" s="1"/>
  <c r="BA112" i="3"/>
  <c r="CP137" i="3"/>
  <c r="CJ143" i="3"/>
  <c r="CJ145" i="3" s="1"/>
  <c r="AX95" i="3"/>
  <c r="AY140" i="3"/>
  <c r="BG140" i="3"/>
  <c r="BP140" i="3"/>
  <c r="CY140" i="3"/>
  <c r="AV140" i="3"/>
  <c r="AV20" i="3"/>
  <c r="BA138" i="3"/>
  <c r="CS8" i="3"/>
  <c r="DA138" i="3"/>
  <c r="BB13" i="3"/>
  <c r="CO14" i="3"/>
  <c r="AH20" i="3"/>
  <c r="BK20" i="3"/>
  <c r="BW134" i="3"/>
  <c r="CY20" i="3"/>
  <c r="CQ21" i="3"/>
  <c r="CY139" i="3"/>
  <c r="CY60" i="3"/>
  <c r="AA25" i="3"/>
  <c r="AW25" i="3" s="1"/>
  <c r="AA32" i="3"/>
  <c r="AW32" i="3" s="1"/>
  <c r="BQ33" i="3"/>
  <c r="AX33" i="3" s="1"/>
  <c r="DH33" i="3"/>
  <c r="CO33" i="3" s="1"/>
  <c r="BL45" i="3"/>
  <c r="AX45" i="3" s="1"/>
  <c r="BL52" i="3"/>
  <c r="BK93" i="3"/>
  <c r="CX141" i="3"/>
  <c r="CX93" i="3"/>
  <c r="DG141" i="3"/>
  <c r="BB72" i="3"/>
  <c r="AX72" i="3" s="1"/>
  <c r="CS74" i="3"/>
  <c r="CO74" i="3" s="1"/>
  <c r="G74" i="3"/>
  <c r="AA74" i="3" s="1"/>
  <c r="AW74" i="3" s="1"/>
  <c r="BB74" i="3"/>
  <c r="AX74" i="3" s="1"/>
  <c r="BB85" i="3"/>
  <c r="AX85" i="3" s="1"/>
  <c r="AB85" i="3"/>
  <c r="AA85" i="3" s="1"/>
  <c r="AW85" i="3" s="1"/>
  <c r="CO88" i="3"/>
  <c r="DG93" i="3"/>
  <c r="CZ112" i="3"/>
  <c r="I144" i="3"/>
  <c r="AZ108" i="3"/>
  <c r="BC58" i="3"/>
  <c r="BC60" i="3" s="1"/>
  <c r="CT58" i="3"/>
  <c r="CT60" i="3" s="1"/>
  <c r="Z141" i="3"/>
  <c r="AZ141" i="3"/>
  <c r="BH141" i="3"/>
  <c r="CR141" i="3"/>
  <c r="AO141" i="3"/>
  <c r="BX141" i="3"/>
  <c r="CZ66" i="3"/>
  <c r="CO66" i="3" s="1"/>
  <c r="AX87" i="3"/>
  <c r="BH144" i="3"/>
  <c r="CI112" i="3"/>
  <c r="CI134" i="3" s="1"/>
  <c r="BM97" i="3"/>
  <c r="CO100" i="3"/>
  <c r="Q132" i="3"/>
  <c r="Q134" i="3" s="1"/>
  <c r="Q136" i="3"/>
  <c r="CY113" i="3"/>
  <c r="BD137" i="3"/>
  <c r="CR137" i="3"/>
  <c r="CZ137" i="3"/>
  <c r="AA120" i="3"/>
  <c r="AW120" i="3" s="1"/>
  <c r="CU139" i="3"/>
  <c r="AQ139" i="3"/>
  <c r="BL26" i="3"/>
  <c r="AX26" i="3" s="1"/>
  <c r="Z139" i="3"/>
  <c r="CL139" i="3"/>
  <c r="CL143" i="3" s="1"/>
  <c r="CL145" i="3" s="1"/>
  <c r="BY60" i="3"/>
  <c r="DB141" i="3"/>
  <c r="BO141" i="3"/>
  <c r="BJ82" i="3"/>
  <c r="BO93" i="3"/>
  <c r="CE93" i="3"/>
  <c r="BB144" i="3"/>
  <c r="BJ144" i="3"/>
  <c r="BJ112" i="3"/>
  <c r="CX144" i="3"/>
  <c r="CX112" i="3"/>
  <c r="DD95" i="3"/>
  <c r="CO95" i="3" s="1"/>
  <c r="AA101" i="3"/>
  <c r="AW101" i="3" s="1"/>
  <c r="BM101" i="3"/>
  <c r="AX101" i="3" s="1"/>
  <c r="CW136" i="3"/>
  <c r="CW132" i="3"/>
  <c r="DG136" i="3"/>
  <c r="DG132" i="3"/>
  <c r="AO137" i="3"/>
  <c r="BJ116" i="3"/>
  <c r="BJ137" i="3" s="1"/>
  <c r="CT137" i="3"/>
  <c r="CK142" i="3"/>
  <c r="CK143" i="3" s="1"/>
  <c r="CK145" i="3" s="1"/>
  <c r="DF125" i="3"/>
  <c r="DF142" i="3" s="1"/>
  <c r="CK132" i="3"/>
  <c r="CT138" i="3"/>
  <c r="DB138" i="3"/>
  <c r="G17" i="3"/>
  <c r="AA17" i="3" s="1"/>
  <c r="AW17" i="3" s="1"/>
  <c r="G18" i="3"/>
  <c r="BR18" i="3" s="1"/>
  <c r="CN18" i="3" s="1"/>
  <c r="BQ19" i="3"/>
  <c r="N134" i="3"/>
  <c r="CL134" i="3"/>
  <c r="BB139" i="3"/>
  <c r="CV139" i="3"/>
  <c r="DD139" i="3"/>
  <c r="G31" i="3"/>
  <c r="BR31" i="3" s="1"/>
  <c r="CN31" i="3" s="1"/>
  <c r="BO139" i="3"/>
  <c r="AU139" i="3"/>
  <c r="AU143" i="3" s="1"/>
  <c r="AU145" i="3" s="1"/>
  <c r="BS46" i="3"/>
  <c r="BR46" i="3" s="1"/>
  <c r="CN46" i="3" s="1"/>
  <c r="AB47" i="3"/>
  <c r="AA47" i="3" s="1"/>
  <c r="AW47" i="3" s="1"/>
  <c r="BB60" i="3"/>
  <c r="BK141" i="3"/>
  <c r="CM141" i="3"/>
  <c r="CU141" i="3"/>
  <c r="CU93" i="3"/>
  <c r="DC141" i="3"/>
  <c r="BB90" i="3"/>
  <c r="AB90" i="3"/>
  <c r="AA90" i="3" s="1"/>
  <c r="AW90" i="3" s="1"/>
  <c r="BX93" i="3"/>
  <c r="V144" i="3"/>
  <c r="DD94" i="3"/>
  <c r="G94" i="3"/>
  <c r="V112" i="3"/>
  <c r="V134" i="3" s="1"/>
  <c r="BM94" i="3"/>
  <c r="BC112" i="3"/>
  <c r="CY144" i="3"/>
  <c r="CY112" i="3"/>
  <c r="CM144" i="3"/>
  <c r="BS97" i="3"/>
  <c r="CM112" i="3"/>
  <c r="DD97" i="3"/>
  <c r="CO97" i="3" s="1"/>
  <c r="DC108" i="3"/>
  <c r="CO108" i="3" s="1"/>
  <c r="CQ113" i="3"/>
  <c r="CX136" i="3"/>
  <c r="CX132" i="3"/>
  <c r="BQ118" i="3"/>
  <c r="AX118" i="3" s="1"/>
  <c r="AB118" i="3"/>
  <c r="BB129" i="3"/>
  <c r="AB129" i="3"/>
  <c r="AA129" i="3" s="1"/>
  <c r="AW129" i="3" s="1"/>
  <c r="BQ9" i="3"/>
  <c r="X134" i="3"/>
  <c r="BK139" i="3"/>
  <c r="CW139" i="3"/>
  <c r="DF139" i="3"/>
  <c r="AU60" i="3"/>
  <c r="AU134" i="3" s="1"/>
  <c r="BK60" i="3"/>
  <c r="AV141" i="3"/>
  <c r="AV93" i="3"/>
  <c r="BD141" i="3"/>
  <c r="BD93" i="3"/>
  <c r="BL141" i="3"/>
  <c r="BL93" i="3"/>
  <c r="CV141" i="3"/>
  <c r="DD141" i="3"/>
  <c r="DD93" i="3"/>
  <c r="AN141" i="3"/>
  <c r="AN143" i="3" s="1"/>
  <c r="AN145" i="3" s="1"/>
  <c r="AN93" i="3"/>
  <c r="BB82" i="3"/>
  <c r="AB82" i="3"/>
  <c r="AA82" i="3" s="1"/>
  <c r="AW82" i="3" s="1"/>
  <c r="BQ92" i="3"/>
  <c r="AX92" i="3" s="1"/>
  <c r="G92" i="3"/>
  <c r="AA92" i="3" s="1"/>
  <c r="AW92" i="3" s="1"/>
  <c r="BY93" i="3"/>
  <c r="BD144" i="3"/>
  <c r="DF112" i="3"/>
  <c r="AE144" i="3"/>
  <c r="AZ105" i="3"/>
  <c r="AE112" i="3"/>
  <c r="BM106" i="3"/>
  <c r="AX106" i="3" s="1"/>
  <c r="DD106" i="3"/>
  <c r="G106" i="3"/>
  <c r="AA106" i="3" s="1"/>
  <c r="AW106" i="3" s="1"/>
  <c r="J132" i="3"/>
  <c r="J134" i="3" s="1"/>
  <c r="BA113" i="3"/>
  <c r="CR113" i="3"/>
  <c r="J136" i="3"/>
  <c r="J143" i="3" s="1"/>
  <c r="J145" i="3" s="1"/>
  <c r="BH113" i="3"/>
  <c r="BV136" i="3"/>
  <c r="BS113" i="3"/>
  <c r="BV132" i="3"/>
  <c r="AY137" i="3"/>
  <c r="AA127" i="3"/>
  <c r="AW127" i="3" s="1"/>
  <c r="CI144" i="3"/>
  <c r="BE144" i="3"/>
  <c r="BE112" i="3"/>
  <c r="CR144" i="3"/>
  <c r="CZ144" i="3"/>
  <c r="BR100" i="3"/>
  <c r="CN100" i="3" s="1"/>
  <c r="O136" i="3"/>
  <c r="O143" i="3" s="1"/>
  <c r="O145" i="3" s="1"/>
  <c r="O132" i="3"/>
  <c r="O134" i="3" s="1"/>
  <c r="AB115" i="3"/>
  <c r="BG137" i="3"/>
  <c r="DB137" i="3"/>
  <c r="AB117" i="3"/>
  <c r="AA117" i="3" s="1"/>
  <c r="AW117" i="3" s="1"/>
  <c r="AZ117" i="3"/>
  <c r="AX117" i="3" s="1"/>
  <c r="BR120" i="3"/>
  <c r="CN120" i="3" s="1"/>
  <c r="BB127" i="3"/>
  <c r="AX127" i="3" s="1"/>
  <c r="CO128" i="3"/>
  <c r="K132" i="3"/>
  <c r="AD143" i="3"/>
  <c r="CB143" i="3"/>
  <c r="CB145" i="3" s="1"/>
  <c r="CT144" i="3"/>
  <c r="DB144" i="3"/>
  <c r="BM103" i="3"/>
  <c r="AB103" i="3"/>
  <c r="AA103" i="3" s="1"/>
  <c r="AW103" i="3" s="1"/>
  <c r="BM104" i="3"/>
  <c r="AX104" i="3" s="1"/>
  <c r="H112" i="3"/>
  <c r="H134" i="3" s="1"/>
  <c r="CP105" i="3"/>
  <c r="CO105" i="3" s="1"/>
  <c r="AY105" i="3"/>
  <c r="G105" i="3"/>
  <c r="BR105" i="3" s="1"/>
  <c r="CN105" i="3" s="1"/>
  <c r="BU144" i="3"/>
  <c r="BU112" i="3"/>
  <c r="BU134" i="3" s="1"/>
  <c r="DD107" i="3"/>
  <c r="CO107" i="3" s="1"/>
  <c r="BQ113" i="3"/>
  <c r="DA136" i="3"/>
  <c r="P132" i="3"/>
  <c r="P134" i="3" s="1"/>
  <c r="G114" i="3"/>
  <c r="AM136" i="3"/>
  <c r="AM143" i="3" s="1"/>
  <c r="AM145" i="3" s="1"/>
  <c r="Q137" i="3"/>
  <c r="BH116" i="3"/>
  <c r="BH137" i="3" s="1"/>
  <c r="AX124" i="3"/>
  <c r="AB126" i="3"/>
  <c r="AA126" i="3" s="1"/>
  <c r="AW126" i="3" s="1"/>
  <c r="AV132" i="3"/>
  <c r="H144" i="3"/>
  <c r="BM96" i="3"/>
  <c r="AX96" i="3" s="1"/>
  <c r="BM98" i="3"/>
  <c r="AX98" i="3" s="1"/>
  <c r="U144" i="3"/>
  <c r="G99" i="3"/>
  <c r="DC99" i="3"/>
  <c r="CO99" i="3" s="1"/>
  <c r="BQ103" i="3"/>
  <c r="BV144" i="3"/>
  <c r="BV112" i="3"/>
  <c r="U112" i="3"/>
  <c r="AE136" i="3"/>
  <c r="AB113" i="3"/>
  <c r="AE132" i="3"/>
  <c r="BE132" i="3"/>
  <c r="BM141" i="3"/>
  <c r="BM136" i="3"/>
  <c r="BM132" i="3"/>
  <c r="DB136" i="3"/>
  <c r="Z137" i="3"/>
  <c r="DH116" i="3"/>
  <c r="BQ116" i="3"/>
  <c r="CV137" i="3"/>
  <c r="DF137" i="3"/>
  <c r="DA124" i="3"/>
  <c r="CO124" i="3" s="1"/>
  <c r="BS124" i="3"/>
  <c r="BR124" i="3" s="1"/>
  <c r="CN124" i="3" s="1"/>
  <c r="AT142" i="3"/>
  <c r="AT143" i="3" s="1"/>
  <c r="AT145" i="3" s="1"/>
  <c r="BO125" i="3"/>
  <c r="BO142" i="3" s="1"/>
  <c r="AT132" i="3"/>
  <c r="AT134" i="3" s="1"/>
  <c r="AQ132" i="3"/>
  <c r="BL126" i="3"/>
  <c r="BL140" i="3" s="1"/>
  <c r="AQ140" i="3"/>
  <c r="BR127" i="3"/>
  <c r="CN127" i="3" s="1"/>
  <c r="AM132" i="3"/>
  <c r="AM134" i="3" s="1"/>
  <c r="CH144" i="3"/>
  <c r="CH112" i="3"/>
  <c r="DD104" i="3"/>
  <c r="AD144" i="3"/>
  <c r="AB105" i="3"/>
  <c r="AZ109" i="3"/>
  <c r="AX109" i="3" s="1"/>
  <c r="AB109" i="3"/>
  <c r="AA109" i="3" s="1"/>
  <c r="AW109" i="3" s="1"/>
  <c r="CT112" i="3"/>
  <c r="I136" i="3"/>
  <c r="G113" i="3"/>
  <c r="BP132" i="3"/>
  <c r="CT132" i="3"/>
  <c r="BM137" i="3"/>
  <c r="CW137" i="3"/>
  <c r="DG137" i="3"/>
  <c r="BS117" i="3"/>
  <c r="BR117" i="3" s="1"/>
  <c r="CN117" i="3" s="1"/>
  <c r="CO120" i="3"/>
  <c r="BQ122" i="3"/>
  <c r="AX122" i="3" s="1"/>
  <c r="G122" i="3"/>
  <c r="BR122" i="3" s="1"/>
  <c r="CN122" i="3" s="1"/>
  <c r="DH122" i="3"/>
  <c r="CO122" i="3" s="1"/>
  <c r="BS126" i="3"/>
  <c r="BR126" i="3" s="1"/>
  <c r="CN126" i="3" s="1"/>
  <c r="AX128" i="3"/>
  <c r="BB131" i="3"/>
  <c r="CS144" i="3"/>
  <c r="CS112" i="3"/>
  <c r="DA144" i="3"/>
  <c r="DA112" i="3"/>
  <c r="AQ144" i="3"/>
  <c r="CZ136" i="3"/>
  <c r="AF136" i="3"/>
  <c r="AF143" i="3" s="1"/>
  <c r="AF145" i="3" s="1"/>
  <c r="BA114" i="3"/>
  <c r="I137" i="3"/>
  <c r="AZ116" i="3"/>
  <c r="BF137" i="3"/>
  <c r="DH121" i="3"/>
  <c r="CO121" i="3" s="1"/>
  <c r="G121" i="3"/>
  <c r="AA121" i="3" s="1"/>
  <c r="AW121" i="3" s="1"/>
  <c r="DB125" i="3"/>
  <c r="DB132" i="3" s="1"/>
  <c r="BI132" i="3"/>
  <c r="BC144" i="3"/>
  <c r="BK144" i="3"/>
  <c r="AV144" i="3"/>
  <c r="Z132" i="3"/>
  <c r="Z136" i="3"/>
  <c r="BB136" i="3"/>
  <c r="BJ136" i="3"/>
  <c r="CM136" i="3"/>
  <c r="DC136" i="3"/>
  <c r="CY114" i="3"/>
  <c r="BA137" i="3"/>
  <c r="CS137" i="3"/>
  <c r="G118" i="3"/>
  <c r="BR118" i="3" s="1"/>
  <c r="CN118" i="3" s="1"/>
  <c r="BQ119" i="3"/>
  <c r="AX119" i="3" s="1"/>
  <c r="G119" i="3"/>
  <c r="AZ120" i="3"/>
  <c r="AX120" i="3" s="1"/>
  <c r="BK125" i="3"/>
  <c r="CW144" i="3"/>
  <c r="DF144" i="3"/>
  <c r="BH112" i="3"/>
  <c r="BC136" i="3"/>
  <c r="BK136" i="3"/>
  <c r="CV132" i="3"/>
  <c r="CV136" i="3"/>
  <c r="DD132" i="3"/>
  <c r="DH114" i="3"/>
  <c r="AE137" i="3"/>
  <c r="AB116" i="3"/>
  <c r="AA116" i="3" s="1"/>
  <c r="AW116" i="3" s="1"/>
  <c r="BB137" i="3"/>
  <c r="BK137" i="3"/>
  <c r="CF137" i="3"/>
  <c r="DA116" i="3"/>
  <c r="BQ121" i="3"/>
  <c r="AX121" i="3" s="1"/>
  <c r="G123" i="3"/>
  <c r="BS125" i="3"/>
  <c r="BR125" i="3" s="1"/>
  <c r="CN125" i="3" s="1"/>
  <c r="BC132" i="3"/>
  <c r="BY143" i="3"/>
  <c r="BY145" i="3" s="1"/>
  <c r="BC137" i="3"/>
  <c r="BL137" i="3"/>
  <c r="CM137" i="3"/>
  <c r="CU137" i="3"/>
  <c r="DD137" i="3"/>
  <c r="AB119" i="3"/>
  <c r="DC123" i="3"/>
  <c r="DC137" i="3" s="1"/>
  <c r="U137" i="3"/>
  <c r="BO137" i="3"/>
  <c r="CZ132" i="3"/>
  <c r="Y143" i="3"/>
  <c r="Y145" i="3" s="1"/>
  <c r="DD136" i="3"/>
  <c r="AL132" i="3"/>
  <c r="AL134" i="3" s="1"/>
  <c r="CS136" i="3"/>
  <c r="CX137" i="3"/>
  <c r="BU143" i="3"/>
  <c r="CA143" i="3"/>
  <c r="CA145" i="3" s="1"/>
  <c r="CI143" i="3"/>
  <c r="AR143" i="3"/>
  <c r="BS15" i="2"/>
  <c r="BR15" i="2" s="1"/>
  <c r="CN15" i="2" s="1"/>
  <c r="G19" i="2"/>
  <c r="G49" i="2"/>
  <c r="G61" i="2"/>
  <c r="AB90" i="2"/>
  <c r="DC109" i="2"/>
  <c r="BS120" i="2"/>
  <c r="BR120" i="2" s="1"/>
  <c r="CN120" i="2" s="1"/>
  <c r="BR122" i="2"/>
  <c r="CN122" i="2" s="1"/>
  <c r="CQ124" i="2"/>
  <c r="CO124" i="2" s="1"/>
  <c r="CS10" i="2"/>
  <c r="CO10" i="2" s="1"/>
  <c r="G98" i="2"/>
  <c r="CR116" i="2"/>
  <c r="CR137" i="2" s="1"/>
  <c r="BR47" i="2"/>
  <c r="CN47" i="2" s="1"/>
  <c r="DC47" i="2"/>
  <c r="CO47" i="2" s="1"/>
  <c r="CS86" i="2"/>
  <c r="CO86" i="2" s="1"/>
  <c r="BB89" i="2"/>
  <c r="DC38" i="2"/>
  <c r="CO38" i="2" s="1"/>
  <c r="BS41" i="2"/>
  <c r="BR41" i="2" s="1"/>
  <c r="CN41" i="2" s="1"/>
  <c r="BR55" i="2"/>
  <c r="CN55" i="2" s="1"/>
  <c r="BS70" i="2"/>
  <c r="BR70" i="2" s="1"/>
  <c r="CN70" i="2" s="1"/>
  <c r="G96" i="2"/>
  <c r="BR96" i="2" s="1"/>
  <c r="CN96" i="2" s="1"/>
  <c r="BM106" i="2"/>
  <c r="G108" i="2"/>
  <c r="AA108" i="2" s="1"/>
  <c r="AW108" i="2" s="1"/>
  <c r="AB112" i="2"/>
  <c r="AA112" i="2" s="1"/>
  <c r="AW112" i="2" s="1"/>
  <c r="BS119" i="2"/>
  <c r="DH75" i="2"/>
  <c r="CO75" i="2" s="1"/>
  <c r="BS81" i="2"/>
  <c r="BR81" i="2" s="1"/>
  <c r="CN81" i="2" s="1"/>
  <c r="AA81" i="2"/>
  <c r="AW81" i="2" s="1"/>
  <c r="BQ120" i="2"/>
  <c r="AX120" i="2" s="1"/>
  <c r="CS7" i="2"/>
  <c r="BR11" i="2"/>
  <c r="CN11" i="2" s="1"/>
  <c r="AB52" i="2"/>
  <c r="CS66" i="2"/>
  <c r="G73" i="2"/>
  <c r="AB80" i="2"/>
  <c r="AA80" i="2" s="1"/>
  <c r="AW80" i="2" s="1"/>
  <c r="CH145" i="2"/>
  <c r="CQ6" i="2"/>
  <c r="G10" i="2"/>
  <c r="AA10" i="2" s="1"/>
  <c r="AW10" i="2" s="1"/>
  <c r="AA22" i="2"/>
  <c r="AW22" i="2" s="1"/>
  <c r="DC29" i="2"/>
  <c r="CO29" i="2" s="1"/>
  <c r="BL31" i="2"/>
  <c r="AX31" i="2" s="1"/>
  <c r="AB99" i="2"/>
  <c r="AA99" i="2" s="1"/>
  <c r="AW99" i="2" s="1"/>
  <c r="AY137" i="2"/>
  <c r="AA44" i="2"/>
  <c r="AW44" i="2" s="1"/>
  <c r="BM96" i="2"/>
  <c r="AX96" i="2" s="1"/>
  <c r="AB41" i="2"/>
  <c r="AA41" i="2" s="1"/>
  <c r="AW41" i="2" s="1"/>
  <c r="BS46" i="2"/>
  <c r="BR46" i="2" s="1"/>
  <c r="CN46" i="2" s="1"/>
  <c r="BQ61" i="2"/>
  <c r="DH70" i="2"/>
  <c r="CO70" i="2" s="1"/>
  <c r="AA75" i="2"/>
  <c r="AW75" i="2" s="1"/>
  <c r="BB79" i="2"/>
  <c r="AX79" i="2" s="1"/>
  <c r="CS88" i="2"/>
  <c r="CO88" i="2" s="1"/>
  <c r="AB103" i="2"/>
  <c r="BB127" i="2"/>
  <c r="AA47" i="2"/>
  <c r="AW47" i="2" s="1"/>
  <c r="DH123" i="2"/>
  <c r="CO123" i="2" s="1"/>
  <c r="AA38" i="2"/>
  <c r="AW38" i="2" s="1"/>
  <c r="BQ103" i="2"/>
  <c r="BR38" i="2"/>
  <c r="CN38" i="2" s="1"/>
  <c r="BS83" i="2"/>
  <c r="BR83" i="2" s="1"/>
  <c r="CN83" i="2" s="1"/>
  <c r="BR88" i="2"/>
  <c r="CN88" i="2" s="1"/>
  <c r="BQ105" i="2"/>
  <c r="CS14" i="2"/>
  <c r="DA84" i="2"/>
  <c r="CD138" i="2"/>
  <c r="AB132" i="2"/>
  <c r="BQ13" i="2"/>
  <c r="AB13" i="2"/>
  <c r="AA13" i="2" s="1"/>
  <c r="AW13" i="2" s="1"/>
  <c r="DB13" i="2"/>
  <c r="DB141" i="2" s="1"/>
  <c r="BS23" i="2"/>
  <c r="BR23" i="2" s="1"/>
  <c r="CN23" i="2" s="1"/>
  <c r="BS52" i="2"/>
  <c r="BQ68" i="2"/>
  <c r="AX68" i="2" s="1"/>
  <c r="AQ113" i="2"/>
  <c r="AB105" i="2"/>
  <c r="BQ114" i="2"/>
  <c r="BS121" i="2"/>
  <c r="BQ32" i="2"/>
  <c r="AX32" i="2" s="1"/>
  <c r="BS35" i="2"/>
  <c r="BR35" i="2" s="1"/>
  <c r="CN35" i="2" s="1"/>
  <c r="DA41" i="2"/>
  <c r="BL47" i="2"/>
  <c r="AX47" i="2" s="1"/>
  <c r="BS50" i="2"/>
  <c r="BR50" i="2" s="1"/>
  <c r="CN50" i="2" s="1"/>
  <c r="AB58" i="2"/>
  <c r="AH60" i="2"/>
  <c r="AB61" i="2"/>
  <c r="AA61" i="2" s="1"/>
  <c r="AW61" i="2" s="1"/>
  <c r="AB72" i="2"/>
  <c r="AA72" i="2" s="1"/>
  <c r="AW72" i="2" s="1"/>
  <c r="DA82" i="2"/>
  <c r="CO82" i="2" s="1"/>
  <c r="AB85" i="2"/>
  <c r="AA85" i="2" s="1"/>
  <c r="AW85" i="2" s="1"/>
  <c r="BS100" i="2"/>
  <c r="AE113" i="2"/>
  <c r="AB114" i="2"/>
  <c r="BK126" i="2"/>
  <c r="BK143" i="2" s="1"/>
  <c r="BS127" i="2"/>
  <c r="AL133" i="2"/>
  <c r="AL135" i="2" s="1"/>
  <c r="X144" i="2"/>
  <c r="X146" i="2" s="1"/>
  <c r="BR32" i="2"/>
  <c r="CN32" i="2" s="1"/>
  <c r="BS104" i="2"/>
  <c r="BM60" i="2"/>
  <c r="BE139" i="2"/>
  <c r="AA26" i="2"/>
  <c r="AW26" i="2" s="1"/>
  <c r="BS103" i="2"/>
  <c r="AA46" i="2"/>
  <c r="AW46" i="2" s="1"/>
  <c r="BS61" i="2"/>
  <c r="BR61" i="2" s="1"/>
  <c r="CN61" i="2" s="1"/>
  <c r="W135" i="2"/>
  <c r="AA51" i="2"/>
  <c r="AW51" i="2" s="1"/>
  <c r="AB54" i="2"/>
  <c r="AA54" i="2" s="1"/>
  <c r="AW54" i="2" s="1"/>
  <c r="AB66" i="2"/>
  <c r="BR87" i="2"/>
  <c r="CN87" i="2" s="1"/>
  <c r="DH103" i="2"/>
  <c r="M144" i="2"/>
  <c r="M146" i="2" s="1"/>
  <c r="CY114" i="2"/>
  <c r="G116" i="2"/>
  <c r="BB138" i="2"/>
  <c r="G124" i="2"/>
  <c r="BR124" i="2" s="1"/>
  <c r="CN124" i="2" s="1"/>
  <c r="BS131" i="2"/>
  <c r="BR131" i="2" s="1"/>
  <c r="CN131" i="2" s="1"/>
  <c r="AD145" i="2"/>
  <c r="CS19" i="2"/>
  <c r="AJ135" i="2"/>
  <c r="DH42" i="2"/>
  <c r="CO42" i="2" s="1"/>
  <c r="BT135" i="2"/>
  <c r="AB36" i="2"/>
  <c r="AA36" i="2" s="1"/>
  <c r="AW36" i="2" s="1"/>
  <c r="BS40" i="2"/>
  <c r="CJ60" i="2"/>
  <c r="CJ135" i="2" s="1"/>
  <c r="AA87" i="2"/>
  <c r="AW87" i="2" s="1"/>
  <c r="BQ92" i="2"/>
  <c r="AX92" i="2" s="1"/>
  <c r="BM107" i="2"/>
  <c r="AX107" i="2" s="1"/>
  <c r="CV137" i="2"/>
  <c r="BV133" i="2"/>
  <c r="DH115" i="2"/>
  <c r="CS138" i="2"/>
  <c r="CO4" i="2"/>
  <c r="Z139" i="2"/>
  <c r="CA135" i="2"/>
  <c r="CS60" i="2"/>
  <c r="CO96" i="2"/>
  <c r="BR22" i="2"/>
  <c r="CN22" i="2" s="1"/>
  <c r="DH40" i="2"/>
  <c r="CO40" i="2" s="1"/>
  <c r="BR82" i="2"/>
  <c r="CN82" i="2" s="1"/>
  <c r="AG139" i="2"/>
  <c r="AB19" i="2"/>
  <c r="AA19" i="2" s="1"/>
  <c r="AW19" i="2" s="1"/>
  <c r="CS6" i="2"/>
  <c r="BS12" i="2"/>
  <c r="BR12" i="2" s="1"/>
  <c r="CN12" i="2" s="1"/>
  <c r="BS19" i="2"/>
  <c r="BR19" i="2" s="1"/>
  <c r="CN19" i="2" s="1"/>
  <c r="CG20" i="2"/>
  <c r="CG135" i="2" s="1"/>
  <c r="BS51" i="2"/>
  <c r="BR51" i="2" s="1"/>
  <c r="CN51" i="2" s="1"/>
  <c r="AB65" i="2"/>
  <c r="AA65" i="2" s="1"/>
  <c r="AW65" i="2" s="1"/>
  <c r="DH67" i="2"/>
  <c r="CO67" i="2" s="1"/>
  <c r="BB85" i="2"/>
  <c r="AX85" i="2" s="1"/>
  <c r="AB100" i="2"/>
  <c r="AB107" i="2"/>
  <c r="AB120" i="2"/>
  <c r="AA120" i="2" s="1"/>
  <c r="AW120" i="2" s="1"/>
  <c r="BQ123" i="2"/>
  <c r="AX123" i="2" s="1"/>
  <c r="CS127" i="2"/>
  <c r="T144" i="2"/>
  <c r="T146" i="2" s="1"/>
  <c r="CQ8" i="2"/>
  <c r="G8" i="2"/>
  <c r="AZ8" i="2"/>
  <c r="AZ114" i="2"/>
  <c r="G6" i="2"/>
  <c r="BR6" i="2" s="1"/>
  <c r="CN6" i="2" s="1"/>
  <c r="BB12" i="2"/>
  <c r="AX12" i="2" s="1"/>
  <c r="AB12" i="2"/>
  <c r="AA12" i="2" s="1"/>
  <c r="AW12" i="2" s="1"/>
  <c r="BQ19" i="2"/>
  <c r="CW60" i="2"/>
  <c r="BS48" i="2"/>
  <c r="BR48" i="2" s="1"/>
  <c r="CN48" i="2" s="1"/>
  <c r="DC48" i="2"/>
  <c r="CO48" i="2" s="1"/>
  <c r="AX72" i="2"/>
  <c r="BS97" i="2"/>
  <c r="CI113" i="2"/>
  <c r="CI135" i="2" s="1"/>
  <c r="CP107" i="2"/>
  <c r="BS107" i="2"/>
  <c r="AA111" i="2"/>
  <c r="AW111" i="2" s="1"/>
  <c r="CQ118" i="2"/>
  <c r="G118" i="2"/>
  <c r="CZ20" i="2"/>
  <c r="AZ25" i="2"/>
  <c r="AX25" i="2" s="1"/>
  <c r="G25" i="2"/>
  <c r="BR25" i="2" s="1"/>
  <c r="CN25" i="2" s="1"/>
  <c r="BJ40" i="2"/>
  <c r="AB40" i="2"/>
  <c r="G119" i="2"/>
  <c r="DH119" i="2"/>
  <c r="BQ119" i="2"/>
  <c r="AT143" i="2"/>
  <c r="AT144" i="2" s="1"/>
  <c r="AT146" i="2" s="1"/>
  <c r="BO126" i="2"/>
  <c r="BO143" i="2" s="1"/>
  <c r="AB130" i="2"/>
  <c r="BB130" i="2"/>
  <c r="AX130" i="2" s="1"/>
  <c r="DC37" i="2"/>
  <c r="CO37" i="2" s="1"/>
  <c r="G37" i="2"/>
  <c r="AA37" i="2" s="1"/>
  <c r="AW37" i="2" s="1"/>
  <c r="BJ113" i="2"/>
  <c r="G105" i="2"/>
  <c r="DD105" i="2"/>
  <c r="AE20" i="2"/>
  <c r="BQ16" i="2"/>
  <c r="AX16" i="2" s="1"/>
  <c r="DH16" i="2"/>
  <c r="CO16" i="2" s="1"/>
  <c r="G5" i="2"/>
  <c r="AA5" i="2" s="1"/>
  <c r="AW5" i="2" s="1"/>
  <c r="BP20" i="2"/>
  <c r="AZ9" i="2"/>
  <c r="G9" i="2"/>
  <c r="DH13" i="2"/>
  <c r="BS13" i="2"/>
  <c r="BR13" i="2" s="1"/>
  <c r="CN13" i="2" s="1"/>
  <c r="AY20" i="2"/>
  <c r="AZ11" i="2"/>
  <c r="AX11" i="2" s="1"/>
  <c r="AB11" i="2"/>
  <c r="AA11" i="2" s="1"/>
  <c r="AW11" i="2" s="1"/>
  <c r="BJ39" i="2"/>
  <c r="AX39" i="2" s="1"/>
  <c r="AO60" i="2"/>
  <c r="BR62" i="2"/>
  <c r="CN62" i="2" s="1"/>
  <c r="H145" i="2"/>
  <c r="CP106" i="2"/>
  <c r="DA137" i="2"/>
  <c r="BM138" i="2"/>
  <c r="CQ5" i="2"/>
  <c r="AX6" i="2"/>
  <c r="AB18" i="2"/>
  <c r="AA18" i="2" s="1"/>
  <c r="AW18" i="2" s="1"/>
  <c r="BB18" i="2"/>
  <c r="AX18" i="2" s="1"/>
  <c r="AE145" i="2"/>
  <c r="AZ110" i="2"/>
  <c r="AX110" i="2" s="1"/>
  <c r="AB110" i="2"/>
  <c r="AA110" i="2" s="1"/>
  <c r="AW110" i="2" s="1"/>
  <c r="BL45" i="2"/>
  <c r="AX45" i="2" s="1"/>
  <c r="G45" i="2"/>
  <c r="BR45" i="2" s="1"/>
  <c r="CN45" i="2" s="1"/>
  <c r="BD93" i="2"/>
  <c r="BB83" i="2"/>
  <c r="AX83" i="2" s="1"/>
  <c r="AB83" i="2"/>
  <c r="AA83" i="2" s="1"/>
  <c r="AW83" i="2" s="1"/>
  <c r="CX113" i="2"/>
  <c r="AZ109" i="2"/>
  <c r="I113" i="2"/>
  <c r="AG133" i="2"/>
  <c r="AX37" i="2"/>
  <c r="BJ41" i="2"/>
  <c r="BO60" i="2"/>
  <c r="DH49" i="2"/>
  <c r="CO49" i="2" s="1"/>
  <c r="BL52" i="2"/>
  <c r="BQ59" i="2"/>
  <c r="AX59" i="2" s="1"/>
  <c r="CZ113" i="2"/>
  <c r="AV113" i="2"/>
  <c r="DG113" i="2"/>
  <c r="DH105" i="2"/>
  <c r="CO108" i="2"/>
  <c r="AZ111" i="2"/>
  <c r="AX111" i="2" s="1"/>
  <c r="DG137" i="2"/>
  <c r="BA138" i="2"/>
  <c r="CX138" i="2"/>
  <c r="DH120" i="2"/>
  <c r="CO120" i="2" s="1"/>
  <c r="DB126" i="2"/>
  <c r="DB143" i="2" s="1"/>
  <c r="S133" i="2"/>
  <c r="BF139" i="2"/>
  <c r="BP139" i="2"/>
  <c r="G14" i="2"/>
  <c r="BR14" i="2" s="1"/>
  <c r="CN14" i="2" s="1"/>
  <c r="AB15" i="2"/>
  <c r="AA15" i="2" s="1"/>
  <c r="AW15" i="2" s="1"/>
  <c r="AK135" i="2"/>
  <c r="CC135" i="2"/>
  <c r="G42" i="2"/>
  <c r="BR42" i="2" s="1"/>
  <c r="CN42" i="2" s="1"/>
  <c r="G43" i="2"/>
  <c r="AA43" i="2" s="1"/>
  <c r="AW43" i="2" s="1"/>
  <c r="CZ43" i="2"/>
  <c r="CO43" i="2" s="1"/>
  <c r="CO51" i="2"/>
  <c r="BS58" i="2"/>
  <c r="AB63" i="2"/>
  <c r="AA63" i="2" s="1"/>
  <c r="AW63" i="2" s="1"/>
  <c r="CO71" i="2"/>
  <c r="CS76" i="2"/>
  <c r="CO76" i="2" s="1"/>
  <c r="G77" i="2"/>
  <c r="AA77" i="2" s="1"/>
  <c r="AW77" i="2" s="1"/>
  <c r="BS84" i="2"/>
  <c r="DD106" i="2"/>
  <c r="G107" i="2"/>
  <c r="DD107" i="2"/>
  <c r="G123" i="2"/>
  <c r="BR123" i="2" s="1"/>
  <c r="CN123" i="2" s="1"/>
  <c r="G127" i="2"/>
  <c r="AB129" i="2"/>
  <c r="AA129" i="2" s="1"/>
  <c r="AW129" i="2" s="1"/>
  <c r="BS132" i="2"/>
  <c r="AR144" i="2"/>
  <c r="BJ118" i="2"/>
  <c r="AY133" i="2"/>
  <c r="BZ144" i="2"/>
  <c r="BZ146" i="2" s="1"/>
  <c r="DD20" i="2"/>
  <c r="AV139" i="2"/>
  <c r="CT13" i="2"/>
  <c r="CT141" i="2" s="1"/>
  <c r="DH19" i="2"/>
  <c r="CQ22" i="2"/>
  <c r="CO22" i="2" s="1"/>
  <c r="AZ24" i="2"/>
  <c r="AX24" i="2" s="1"/>
  <c r="G34" i="2"/>
  <c r="AA34" i="2" s="1"/>
  <c r="AW34" i="2" s="1"/>
  <c r="AB35" i="2"/>
  <c r="AA35" i="2" s="1"/>
  <c r="AW35" i="2" s="1"/>
  <c r="DC52" i="2"/>
  <c r="AA55" i="2"/>
  <c r="AW55" i="2" s="1"/>
  <c r="BQ67" i="2"/>
  <c r="AX67" i="2" s="1"/>
  <c r="CS77" i="2"/>
  <c r="CO77" i="2" s="1"/>
  <c r="AA89" i="2"/>
  <c r="AW89" i="2" s="1"/>
  <c r="DH92" i="2"/>
  <c r="CO92" i="2" s="1"/>
  <c r="CI145" i="2"/>
  <c r="CR113" i="2"/>
  <c r="DD97" i="2"/>
  <c r="CO97" i="2" s="1"/>
  <c r="DA113" i="2"/>
  <c r="AZ115" i="2"/>
  <c r="AO138" i="2"/>
  <c r="BV138" i="2"/>
  <c r="DA118" i="2"/>
  <c r="AJ144" i="2"/>
  <c r="AJ146" i="2" s="1"/>
  <c r="CO101" i="2"/>
  <c r="DD103" i="2"/>
  <c r="AI144" i="2"/>
  <c r="AI146" i="2" s="1"/>
  <c r="AV20" i="2"/>
  <c r="CP139" i="2"/>
  <c r="CY139" i="2"/>
  <c r="BY20" i="2"/>
  <c r="DB60" i="2"/>
  <c r="BL46" i="2"/>
  <c r="AX46" i="2" s="1"/>
  <c r="BS49" i="2"/>
  <c r="BR49" i="2" s="1"/>
  <c r="CN49" i="2" s="1"/>
  <c r="BM97" i="2"/>
  <c r="AX97" i="2" s="1"/>
  <c r="BS99" i="2"/>
  <c r="BR99" i="2" s="1"/>
  <c r="CN99" i="2" s="1"/>
  <c r="CO99" i="2"/>
  <c r="AB106" i="2"/>
  <c r="Q137" i="2"/>
  <c r="BD114" i="2"/>
  <c r="BD137" i="2" s="1"/>
  <c r="CU114" i="2"/>
  <c r="CU133" i="2" s="1"/>
  <c r="G126" i="2"/>
  <c r="AB131" i="2"/>
  <c r="AA131" i="2" s="1"/>
  <c r="AW131" i="2" s="1"/>
  <c r="Q133" i="2"/>
  <c r="Q135" i="2" s="1"/>
  <c r="CO14" i="2"/>
  <c r="R60" i="2"/>
  <c r="CY115" i="2"/>
  <c r="P135" i="2"/>
  <c r="AA88" i="2"/>
  <c r="AW88" i="2" s="1"/>
  <c r="BH20" i="2"/>
  <c r="CM139" i="2"/>
  <c r="BI20" i="2"/>
  <c r="BB10" i="2"/>
  <c r="BZ135" i="2"/>
  <c r="BD60" i="2"/>
  <c r="DE34" i="2"/>
  <c r="DE60" i="2" s="1"/>
  <c r="DE135" i="2" s="1"/>
  <c r="CO35" i="2"/>
  <c r="BE93" i="2"/>
  <c r="DH69" i="2"/>
  <c r="CO69" i="2" s="1"/>
  <c r="CS84" i="2"/>
  <c r="BR86" i="2"/>
  <c r="CN86" i="2" s="1"/>
  <c r="AX87" i="2"/>
  <c r="BM98" i="2"/>
  <c r="AZ106" i="2"/>
  <c r="BI138" i="2"/>
  <c r="CF133" i="2"/>
  <c r="BQ121" i="2"/>
  <c r="AX28" i="2"/>
  <c r="AA48" i="2"/>
  <c r="AW48" i="2" s="1"/>
  <c r="AA27" i="2"/>
  <c r="AW27" i="2" s="1"/>
  <c r="CW141" i="2"/>
  <c r="CW20" i="2"/>
  <c r="DH33" i="2"/>
  <c r="CO33" i="2" s="1"/>
  <c r="BQ33" i="2"/>
  <c r="AX33" i="2" s="1"/>
  <c r="AZ56" i="2"/>
  <c r="AX56" i="2" s="1"/>
  <c r="G56" i="2"/>
  <c r="CQ56" i="2"/>
  <c r="CO56" i="2" s="1"/>
  <c r="L140" i="2"/>
  <c r="L60" i="2"/>
  <c r="CT58" i="2"/>
  <c r="CO58" i="2" s="1"/>
  <c r="BC58" i="2"/>
  <c r="AX58" i="2" s="1"/>
  <c r="AQ60" i="2"/>
  <c r="BS63" i="2"/>
  <c r="DH63" i="2"/>
  <c r="CO63" i="2" s="1"/>
  <c r="BE141" i="2"/>
  <c r="BE20" i="2"/>
  <c r="BM140" i="2"/>
  <c r="BM20" i="2"/>
  <c r="CP141" i="2"/>
  <c r="CP20" i="2"/>
  <c r="CX141" i="2"/>
  <c r="CX20" i="2"/>
  <c r="DG141" i="2"/>
  <c r="DG20" i="2"/>
  <c r="Z141" i="2"/>
  <c r="Z20" i="2"/>
  <c r="CS5" i="2"/>
  <c r="BE60" i="2"/>
  <c r="CV60" i="2"/>
  <c r="DC142" i="2"/>
  <c r="DC93" i="2"/>
  <c r="CO81" i="2"/>
  <c r="BF141" i="2"/>
  <c r="BO141" i="2"/>
  <c r="BO20" i="2"/>
  <c r="CY141" i="2"/>
  <c r="CY20" i="2"/>
  <c r="BB5" i="2"/>
  <c r="BG139" i="2"/>
  <c r="AN93" i="2"/>
  <c r="BI66" i="2"/>
  <c r="BI142" i="2" s="1"/>
  <c r="AA73" i="2"/>
  <c r="AW73" i="2" s="1"/>
  <c r="BD113" i="2"/>
  <c r="BD145" i="2"/>
  <c r="BR98" i="2"/>
  <c r="CN98" i="2" s="1"/>
  <c r="BG141" i="2"/>
  <c r="CR141" i="2"/>
  <c r="BQ7" i="2"/>
  <c r="BH139" i="2"/>
  <c r="BB13" i="2"/>
  <c r="CV140" i="2"/>
  <c r="DC36" i="2"/>
  <c r="CO36" i="2" s="1"/>
  <c r="BS36" i="2"/>
  <c r="CF140" i="2"/>
  <c r="CF60" i="2"/>
  <c r="AR145" i="2"/>
  <c r="AR113" i="2"/>
  <c r="AR135" i="2" s="1"/>
  <c r="AB95" i="2"/>
  <c r="BM95" i="2"/>
  <c r="AX95" i="2" s="1"/>
  <c r="AN142" i="2"/>
  <c r="BH141" i="2"/>
  <c r="CV20" i="2"/>
  <c r="CU139" i="2"/>
  <c r="BA141" i="2"/>
  <c r="BA20" i="2"/>
  <c r="BI141" i="2"/>
  <c r="AV141" i="2"/>
  <c r="I139" i="2"/>
  <c r="BX139" i="2"/>
  <c r="BS8" i="2"/>
  <c r="CV139" i="2"/>
  <c r="DD139" i="2"/>
  <c r="CQ9" i="2"/>
  <c r="AX10" i="2"/>
  <c r="CO11" i="2"/>
  <c r="DC20" i="2"/>
  <c r="K139" i="2"/>
  <c r="CS8" i="2"/>
  <c r="BB8" i="2"/>
  <c r="BK139" i="2"/>
  <c r="DF139" i="2"/>
  <c r="AX15" i="2"/>
  <c r="BF20" i="2"/>
  <c r="CR20" i="2"/>
  <c r="BB140" i="2"/>
  <c r="BB60" i="2"/>
  <c r="CP140" i="2"/>
  <c r="CP60" i="2"/>
  <c r="BH60" i="2"/>
  <c r="BL34" i="2"/>
  <c r="AA4" i="2"/>
  <c r="AW4" i="2" s="1"/>
  <c r="BX141" i="2"/>
  <c r="BX20" i="2"/>
  <c r="BQ5" i="2"/>
  <c r="DH5" i="2"/>
  <c r="AE139" i="2"/>
  <c r="AB8" i="2"/>
  <c r="BD139" i="2"/>
  <c r="BL139" i="2"/>
  <c r="CX139" i="2"/>
  <c r="DG139" i="2"/>
  <c r="AB9" i="2"/>
  <c r="CF141" i="2"/>
  <c r="CF20" i="2"/>
  <c r="DA15" i="2"/>
  <c r="DA20" i="2" s="1"/>
  <c r="BR16" i="2"/>
  <c r="CN16" i="2" s="1"/>
  <c r="BS18" i="2"/>
  <c r="CS18" i="2"/>
  <c r="CO18" i="2" s="1"/>
  <c r="BG20" i="2"/>
  <c r="BK140" i="2"/>
  <c r="BK60" i="2"/>
  <c r="CM60" i="2"/>
  <c r="BS24" i="2"/>
  <c r="CH140" i="2"/>
  <c r="CH60" i="2"/>
  <c r="BS26" i="2"/>
  <c r="DC26" i="2"/>
  <c r="CO26" i="2" s="1"/>
  <c r="BR29" i="2"/>
  <c r="CN29" i="2" s="1"/>
  <c r="AB32" i="2"/>
  <c r="G33" i="2"/>
  <c r="BR33" i="2" s="1"/>
  <c r="CN33" i="2" s="1"/>
  <c r="DA39" i="2"/>
  <c r="G40" i="2"/>
  <c r="G58" i="2"/>
  <c r="AA62" i="2"/>
  <c r="AW62" i="2" s="1"/>
  <c r="BR92" i="2"/>
  <c r="CN92" i="2" s="1"/>
  <c r="DF141" i="2"/>
  <c r="DF20" i="2"/>
  <c r="CZ139" i="2"/>
  <c r="BL57" i="2"/>
  <c r="AX57" i="2" s="1"/>
  <c r="AB57" i="2"/>
  <c r="BB66" i="2"/>
  <c r="AG93" i="2"/>
  <c r="BS89" i="2"/>
  <c r="CS89" i="2"/>
  <c r="CO89" i="2" s="1"/>
  <c r="AX4" i="2"/>
  <c r="CR139" i="2"/>
  <c r="AO141" i="2"/>
  <c r="AO20" i="2"/>
  <c r="CU140" i="2"/>
  <c r="CU60" i="2"/>
  <c r="BS59" i="2"/>
  <c r="DH59" i="2"/>
  <c r="CO59" i="2" s="1"/>
  <c r="BP141" i="2"/>
  <c r="CM141" i="2"/>
  <c r="CM20" i="2"/>
  <c r="DD140" i="2"/>
  <c r="DD60" i="2"/>
  <c r="AZ23" i="2"/>
  <c r="AB23" i="2"/>
  <c r="CQ50" i="2"/>
  <c r="CO50" i="2" s="1"/>
  <c r="CR93" i="2"/>
  <c r="DD133" i="2"/>
  <c r="DD137" i="2"/>
  <c r="BD140" i="2"/>
  <c r="AZ141" i="2"/>
  <c r="AG141" i="2"/>
  <c r="AG20" i="2"/>
  <c r="I20" i="2"/>
  <c r="CQ7" i="2"/>
  <c r="G7" i="2"/>
  <c r="AA7" i="2" s="1"/>
  <c r="AW7" i="2" s="1"/>
  <c r="DC139" i="2"/>
  <c r="CS9" i="2"/>
  <c r="BB9" i="2"/>
  <c r="BQ9" i="2"/>
  <c r="DH9" i="2"/>
  <c r="BC13" i="2"/>
  <c r="BK13" i="2"/>
  <c r="BK141" i="2" s="1"/>
  <c r="BB17" i="2"/>
  <c r="AX17" i="2" s="1"/>
  <c r="CS17" i="2"/>
  <c r="CO17" i="2" s="1"/>
  <c r="G17" i="2"/>
  <c r="AA17" i="2" s="1"/>
  <c r="AW17" i="2" s="1"/>
  <c r="BB19" i="2"/>
  <c r="AP20" i="2"/>
  <c r="AP135" i="2" s="1"/>
  <c r="CB135" i="2"/>
  <c r="AY140" i="2"/>
  <c r="CW140" i="2"/>
  <c r="DF140" i="2"/>
  <c r="DF60" i="2"/>
  <c r="AV140" i="2"/>
  <c r="BQ23" i="2"/>
  <c r="AV60" i="2"/>
  <c r="AA24" i="2"/>
  <c r="AW24" i="2" s="1"/>
  <c r="AA29" i="2"/>
  <c r="AW29" i="2" s="1"/>
  <c r="BL29" i="2"/>
  <c r="AX29" i="2" s="1"/>
  <c r="G31" i="2"/>
  <c r="DC31" i="2"/>
  <c r="CO31" i="2" s="1"/>
  <c r="AX36" i="2"/>
  <c r="BS54" i="2"/>
  <c r="CO57" i="2"/>
  <c r="AY60" i="2"/>
  <c r="BA142" i="2"/>
  <c r="BA93" i="2"/>
  <c r="AX76" i="2"/>
  <c r="BJ84" i="2"/>
  <c r="G84" i="2"/>
  <c r="BF145" i="2"/>
  <c r="BF113" i="2"/>
  <c r="AA21" i="2"/>
  <c r="AW21" i="2" s="1"/>
  <c r="AX30" i="2"/>
  <c r="CU142" i="2"/>
  <c r="CU93" i="2"/>
  <c r="AX22" i="2"/>
  <c r="BV140" i="2"/>
  <c r="BS21" i="2"/>
  <c r="BV60" i="2"/>
  <c r="CQ21" i="2"/>
  <c r="DC28" i="2"/>
  <c r="CO28" i="2" s="1"/>
  <c r="G28" i="2"/>
  <c r="AX35" i="2"/>
  <c r="BR57" i="2"/>
  <c r="CN57" i="2" s="1"/>
  <c r="BY142" i="2"/>
  <c r="BY144" i="2" s="1"/>
  <c r="BY146" i="2" s="1"/>
  <c r="BY93" i="2"/>
  <c r="BH93" i="2"/>
  <c r="CU137" i="2"/>
  <c r="AF137" i="2"/>
  <c r="AF144" i="2" s="1"/>
  <c r="AF146" i="2" s="1"/>
  <c r="AF133" i="2"/>
  <c r="AF135" i="2" s="1"/>
  <c r="BA115" i="2"/>
  <c r="CS128" i="2"/>
  <c r="CO128" i="2" s="1"/>
  <c r="K133" i="2"/>
  <c r="BB128" i="2"/>
  <c r="AX128" i="2" s="1"/>
  <c r="G128" i="2"/>
  <c r="BR128" i="2" s="1"/>
  <c r="CN128" i="2" s="1"/>
  <c r="BL20" i="2"/>
  <c r="AA16" i="2"/>
  <c r="AW16" i="2" s="1"/>
  <c r="AH20" i="2"/>
  <c r="BA140" i="2"/>
  <c r="BA60" i="2"/>
  <c r="CX140" i="2"/>
  <c r="CX60" i="2"/>
  <c r="U140" i="2"/>
  <c r="U60" i="2"/>
  <c r="DC27" i="2"/>
  <c r="CO27" i="2" s="1"/>
  <c r="BL27" i="2"/>
  <c r="AX27" i="2" s="1"/>
  <c r="BO140" i="2"/>
  <c r="BQ40" i="2"/>
  <c r="CQ52" i="2"/>
  <c r="G52" i="2"/>
  <c r="CO55" i="2"/>
  <c r="AN60" i="2"/>
  <c r="L142" i="2"/>
  <c r="BC61" i="2"/>
  <c r="CT61" i="2"/>
  <c r="AO142" i="2"/>
  <c r="AO93" i="2"/>
  <c r="AB64" i="2"/>
  <c r="BJ64" i="2"/>
  <c r="AX64" i="2" s="1"/>
  <c r="K142" i="2"/>
  <c r="BB65" i="2"/>
  <c r="K93" i="2"/>
  <c r="CS65" i="2"/>
  <c r="BF93" i="2"/>
  <c r="CS73" i="2"/>
  <c r="BS73" i="2"/>
  <c r="AZ121" i="2"/>
  <c r="G121" i="2"/>
  <c r="CQ121" i="2"/>
  <c r="AB124" i="2"/>
  <c r="AZ124" i="2"/>
  <c r="AX124" i="2" s="1"/>
  <c r="K141" i="2"/>
  <c r="K20" i="2"/>
  <c r="BM139" i="2"/>
  <c r="BN139" i="2"/>
  <c r="BR27" i="2"/>
  <c r="CN27" i="2" s="1"/>
  <c r="CE140" i="2"/>
  <c r="BS30" i="2"/>
  <c r="CE60" i="2"/>
  <c r="CZ30" i="2"/>
  <c r="CZ60" i="2" s="1"/>
  <c r="I60" i="2"/>
  <c r="BB86" i="2"/>
  <c r="AX86" i="2" s="1"/>
  <c r="AB86" i="2"/>
  <c r="AY141" i="2"/>
  <c r="CZ141" i="2"/>
  <c r="AY139" i="2"/>
  <c r="CQ25" i="2"/>
  <c r="CO25" i="2" s="1"/>
  <c r="AZ142" i="2"/>
  <c r="AZ93" i="2"/>
  <c r="CO12" i="2"/>
  <c r="BJ141" i="2"/>
  <c r="BJ20" i="2"/>
  <c r="CU141" i="2"/>
  <c r="CU20" i="2"/>
  <c r="BC139" i="2"/>
  <c r="CW139" i="2"/>
  <c r="BS9" i="2"/>
  <c r="AB50" i="2"/>
  <c r="G53" i="2"/>
  <c r="AA53" i="2" s="1"/>
  <c r="AW53" i="2" s="1"/>
  <c r="BQ53" i="2"/>
  <c r="AX53" i="2" s="1"/>
  <c r="DH53" i="2"/>
  <c r="CO53" i="2" s="1"/>
  <c r="DH54" i="2"/>
  <c r="CO54" i="2" s="1"/>
  <c r="BQ54" i="2"/>
  <c r="AX54" i="2" s="1"/>
  <c r="L93" i="2"/>
  <c r="AQ141" i="2"/>
  <c r="BL127" i="2"/>
  <c r="BL141" i="2" s="1"/>
  <c r="AB127" i="2"/>
  <c r="AQ133" i="2"/>
  <c r="BA139" i="2"/>
  <c r="DA139" i="2"/>
  <c r="BB14" i="2"/>
  <c r="AX14" i="2" s="1"/>
  <c r="BF140" i="2"/>
  <c r="BF60" i="2"/>
  <c r="BD141" i="2"/>
  <c r="CV141" i="2"/>
  <c r="DD141" i="2"/>
  <c r="I141" i="2"/>
  <c r="BJ139" i="2"/>
  <c r="BV139" i="2"/>
  <c r="BV20" i="2"/>
  <c r="CT139" i="2"/>
  <c r="DB139" i="2"/>
  <c r="BD20" i="2"/>
  <c r="BG140" i="2"/>
  <c r="DH32" i="2"/>
  <c r="CO32" i="2" s="1"/>
  <c r="W140" i="2"/>
  <c r="W144" i="2" s="1"/>
  <c r="W146" i="2" s="1"/>
  <c r="BN34" i="2"/>
  <c r="DC34" i="2"/>
  <c r="BL38" i="2"/>
  <c r="AX38" i="2" s="1"/>
  <c r="AX42" i="2"/>
  <c r="BL44" i="2"/>
  <c r="AX44" i="2" s="1"/>
  <c r="DC45" i="2"/>
  <c r="CO45" i="2" s="1"/>
  <c r="AX51" i="2"/>
  <c r="AY142" i="2"/>
  <c r="AY93" i="2"/>
  <c r="BH142" i="2"/>
  <c r="DB142" i="2"/>
  <c r="DB93" i="2"/>
  <c r="BQ62" i="2"/>
  <c r="AX62" i="2" s="1"/>
  <c r="DH62" i="2"/>
  <c r="CO62" i="2" s="1"/>
  <c r="CF142" i="2"/>
  <c r="CF93" i="2"/>
  <c r="DA64" i="2"/>
  <c r="CO64" i="2" s="1"/>
  <c r="AB71" i="2"/>
  <c r="BB71" i="2"/>
  <c r="AX71" i="2" s="1"/>
  <c r="AA79" i="2"/>
  <c r="AW79" i="2" s="1"/>
  <c r="CO87" i="2"/>
  <c r="DA145" i="2"/>
  <c r="BO113" i="2"/>
  <c r="AI135" i="2"/>
  <c r="CY140" i="2"/>
  <c r="CY60" i="2"/>
  <c r="AN140" i="2"/>
  <c r="AB30" i="2"/>
  <c r="Y140" i="2"/>
  <c r="Y144" i="2" s="1"/>
  <c r="Y146" i="2" s="1"/>
  <c r="DG41" i="2"/>
  <c r="BP41" i="2"/>
  <c r="BP60" i="2" s="1"/>
  <c r="BR44" i="2"/>
  <c r="CN44" i="2" s="1"/>
  <c r="AX50" i="2"/>
  <c r="AX55" i="2"/>
  <c r="DF93" i="2"/>
  <c r="S142" i="2"/>
  <c r="S144" i="2" s="1"/>
  <c r="S146" i="2" s="1"/>
  <c r="S93" i="2"/>
  <c r="S135" i="2" s="1"/>
  <c r="BJ65" i="2"/>
  <c r="DA65" i="2"/>
  <c r="BS68" i="2"/>
  <c r="DH68" i="2"/>
  <c r="CO68" i="2" s="1"/>
  <c r="G78" i="2"/>
  <c r="CS78" i="2"/>
  <c r="CO78" i="2" s="1"/>
  <c r="BB78" i="2"/>
  <c r="AX78" i="2" s="1"/>
  <c r="DA91" i="2"/>
  <c r="BJ91" i="2"/>
  <c r="BM102" i="2"/>
  <c r="AX102" i="2" s="1"/>
  <c r="AB102" i="2"/>
  <c r="AE140" i="2"/>
  <c r="AE60" i="2"/>
  <c r="AZ21" i="2"/>
  <c r="AX21" i="2" s="1"/>
  <c r="BE140" i="2"/>
  <c r="CR140" i="2"/>
  <c r="I140" i="2"/>
  <c r="CQ23" i="2"/>
  <c r="CM140" i="2"/>
  <c r="DH23" i="2"/>
  <c r="AO140" i="2"/>
  <c r="AB39" i="2"/>
  <c r="CL140" i="2"/>
  <c r="CL144" i="2" s="1"/>
  <c r="CL146" i="2" s="1"/>
  <c r="CL60" i="2"/>
  <c r="CL135" i="2" s="1"/>
  <c r="DC44" i="2"/>
  <c r="CO44" i="2" s="1"/>
  <c r="AB59" i="2"/>
  <c r="Y60" i="2"/>
  <c r="Y135" i="2" s="1"/>
  <c r="BG60" i="2"/>
  <c r="BP93" i="2"/>
  <c r="CR142" i="2"/>
  <c r="AB70" i="2"/>
  <c r="BQ70" i="2"/>
  <c r="AX70" i="2" s="1"/>
  <c r="AX73" i="2"/>
  <c r="BB74" i="2"/>
  <c r="AX74" i="2" s="1"/>
  <c r="CS74" i="2"/>
  <c r="CO74" i="2" s="1"/>
  <c r="AX77" i="2"/>
  <c r="BR79" i="2"/>
  <c r="CN79" i="2" s="1"/>
  <c r="AX81" i="2"/>
  <c r="DA85" i="2"/>
  <c r="CO85" i="2" s="1"/>
  <c r="BS85" i="2"/>
  <c r="BQ90" i="2"/>
  <c r="AX90" i="2" s="1"/>
  <c r="DH90" i="2"/>
  <c r="G90" i="2"/>
  <c r="CY113" i="2"/>
  <c r="BK113" i="2"/>
  <c r="AE138" i="2"/>
  <c r="AB117" i="2"/>
  <c r="BI139" i="2"/>
  <c r="CS140" i="2"/>
  <c r="BL49" i="2"/>
  <c r="AB49" i="2"/>
  <c r="CR60" i="2"/>
  <c r="BG142" i="2"/>
  <c r="BG93" i="2"/>
  <c r="BR64" i="2"/>
  <c r="CN64" i="2" s="1"/>
  <c r="CO72" i="2"/>
  <c r="AA74" i="2"/>
  <c r="AW74" i="2" s="1"/>
  <c r="BR80" i="2"/>
  <c r="CN80" i="2" s="1"/>
  <c r="Z140" i="2"/>
  <c r="AS140" i="2"/>
  <c r="AS144" i="2" s="1"/>
  <c r="AS146" i="2" s="1"/>
  <c r="AS60" i="2"/>
  <c r="AS135" i="2" s="1"/>
  <c r="CO46" i="2"/>
  <c r="Z60" i="2"/>
  <c r="Z142" i="2"/>
  <c r="Z93" i="2"/>
  <c r="DH61" i="2"/>
  <c r="BB84" i="2"/>
  <c r="AB84" i="2"/>
  <c r="AX89" i="2"/>
  <c r="CQ111" i="2"/>
  <c r="CO111" i="2" s="1"/>
  <c r="BS111" i="2"/>
  <c r="BJ137" i="2"/>
  <c r="CM137" i="2"/>
  <c r="CM133" i="2"/>
  <c r="AV133" i="2"/>
  <c r="BB91" i="2"/>
  <c r="AB91" i="2"/>
  <c r="BE145" i="2"/>
  <c r="BE113" i="2"/>
  <c r="CT145" i="2"/>
  <c r="CT113" i="2"/>
  <c r="DB145" i="2"/>
  <c r="DB113" i="2"/>
  <c r="CV133" i="2"/>
  <c r="BU144" i="2"/>
  <c r="BP113" i="2"/>
  <c r="DG138" i="2"/>
  <c r="DG133" i="2"/>
  <c r="G132" i="2"/>
  <c r="CS132" i="2"/>
  <c r="BB132" i="2"/>
  <c r="AU140" i="2"/>
  <c r="AU144" i="2" s="1"/>
  <c r="AU146" i="2" s="1"/>
  <c r="BI43" i="2"/>
  <c r="AX43" i="2" s="1"/>
  <c r="BY60" i="2"/>
  <c r="BK142" i="2"/>
  <c r="BK93" i="2"/>
  <c r="CM142" i="2"/>
  <c r="CM93" i="2"/>
  <c r="CV142" i="2"/>
  <c r="CV93" i="2"/>
  <c r="DD142" i="2"/>
  <c r="DD93" i="2"/>
  <c r="CW93" i="2"/>
  <c r="BO142" i="2"/>
  <c r="BO93" i="2"/>
  <c r="BX142" i="2"/>
  <c r="BS66" i="2"/>
  <c r="G67" i="2"/>
  <c r="AA68" i="2"/>
  <c r="AW68" i="2" s="1"/>
  <c r="BQ69" i="2"/>
  <c r="AX69" i="2" s="1"/>
  <c r="BS71" i="2"/>
  <c r="BQ75" i="2"/>
  <c r="G76" i="2"/>
  <c r="AA78" i="2"/>
  <c r="AW78" i="2" s="1"/>
  <c r="AX80" i="2"/>
  <c r="CS80" i="2"/>
  <c r="CO80" i="2" s="1"/>
  <c r="CO83" i="2"/>
  <c r="AA92" i="2"/>
  <c r="AW92" i="2" s="1"/>
  <c r="BX93" i="2"/>
  <c r="BG113" i="2"/>
  <c r="BM103" i="2"/>
  <c r="G106" i="2"/>
  <c r="AY106" i="2"/>
  <c r="CQ112" i="2"/>
  <c r="CO112" i="2" s="1"/>
  <c r="BS112" i="2"/>
  <c r="CO131" i="2"/>
  <c r="AH142" i="2"/>
  <c r="AH144" i="2" s="1"/>
  <c r="AH146" i="2" s="1"/>
  <c r="AH93" i="2"/>
  <c r="BD142" i="2"/>
  <c r="BL142" i="2"/>
  <c r="BL93" i="2"/>
  <c r="BR75" i="2"/>
  <c r="CN75" i="2" s="1"/>
  <c r="CO79" i="2"/>
  <c r="CS90" i="2"/>
  <c r="BS90" i="2"/>
  <c r="DH104" i="2"/>
  <c r="CO104" i="2" s="1"/>
  <c r="BQ104" i="2"/>
  <c r="G104" i="2"/>
  <c r="I145" i="2"/>
  <c r="G109" i="2"/>
  <c r="AA109" i="2" s="1"/>
  <c r="AW109" i="2" s="1"/>
  <c r="CQ109" i="2"/>
  <c r="CD137" i="2"/>
  <c r="CD133" i="2"/>
  <c r="CD135" i="2" s="1"/>
  <c r="X135" i="2"/>
  <c r="BH140" i="2"/>
  <c r="DB140" i="2"/>
  <c r="AQ140" i="2"/>
  <c r="BL26" i="2"/>
  <c r="AX26" i="2" s="1"/>
  <c r="AU60" i="2"/>
  <c r="AU135" i="2" s="1"/>
  <c r="AV142" i="2"/>
  <c r="CP142" i="2"/>
  <c r="CP93" i="2"/>
  <c r="CX142" i="2"/>
  <c r="CX93" i="2"/>
  <c r="DG142" i="2"/>
  <c r="DG93" i="2"/>
  <c r="BM93" i="2"/>
  <c r="AX63" i="2"/>
  <c r="R142" i="2"/>
  <c r="R144" i="2" s="1"/>
  <c r="R146" i="2" s="1"/>
  <c r="R93" i="2"/>
  <c r="CZ66" i="2"/>
  <c r="CZ142" i="2" s="1"/>
  <c r="CE142" i="2"/>
  <c r="CE93" i="2"/>
  <c r="G69" i="2"/>
  <c r="BR74" i="2"/>
  <c r="CN74" i="2" s="1"/>
  <c r="AV93" i="2"/>
  <c r="BA113" i="2"/>
  <c r="G103" i="2"/>
  <c r="BM108" i="2"/>
  <c r="AX108" i="2" s="1"/>
  <c r="H113" i="2"/>
  <c r="H135" i="2" s="1"/>
  <c r="AB118" i="2"/>
  <c r="AZ118" i="2"/>
  <c r="BO138" i="2"/>
  <c r="BR129" i="2"/>
  <c r="CN129" i="2" s="1"/>
  <c r="CS130" i="2"/>
  <c r="CO130" i="2" s="1"/>
  <c r="BS130" i="2"/>
  <c r="AX131" i="2"/>
  <c r="BA145" i="2"/>
  <c r="BF142" i="2"/>
  <c r="BP142" i="2"/>
  <c r="CQ142" i="2"/>
  <c r="CQ93" i="2"/>
  <c r="CY142" i="2"/>
  <c r="CY93" i="2"/>
  <c r="CY145" i="2"/>
  <c r="AV145" i="2"/>
  <c r="AB98" i="2"/>
  <c r="DC137" i="2"/>
  <c r="AB115" i="2"/>
  <c r="AB125" i="2"/>
  <c r="BJ125" i="2"/>
  <c r="BJ82" i="2"/>
  <c r="BS95" i="2"/>
  <c r="CU145" i="2"/>
  <c r="CU113" i="2"/>
  <c r="AB96" i="2"/>
  <c r="BR102" i="2"/>
  <c r="CN102" i="2" s="1"/>
  <c r="DD102" i="2"/>
  <c r="CO102" i="2" s="1"/>
  <c r="BS105" i="2"/>
  <c r="BL109" i="2"/>
  <c r="N137" i="2"/>
  <c r="N144" i="2" s="1"/>
  <c r="N146" i="2" s="1"/>
  <c r="N133" i="2"/>
  <c r="N135" i="2" s="1"/>
  <c r="BE114" i="2"/>
  <c r="BK137" i="2"/>
  <c r="I138" i="2"/>
  <c r="G117" i="2"/>
  <c r="CQ117" i="2"/>
  <c r="BE138" i="2"/>
  <c r="CP138" i="2"/>
  <c r="CZ138" i="2"/>
  <c r="DH121" i="2"/>
  <c r="DF143" i="2"/>
  <c r="BX133" i="2"/>
  <c r="BI145" i="2"/>
  <c r="DF145" i="2"/>
  <c r="DF113" i="2"/>
  <c r="BQ98" i="2"/>
  <c r="CM145" i="2"/>
  <c r="CM113" i="2"/>
  <c r="AX99" i="2"/>
  <c r="BM104" i="2"/>
  <c r="AB104" i="2"/>
  <c r="CQ110" i="2"/>
  <c r="CO110" i="2" s="1"/>
  <c r="BS110" i="2"/>
  <c r="U113" i="2"/>
  <c r="O133" i="2"/>
  <c r="O135" i="2" s="1"/>
  <c r="BF114" i="2"/>
  <c r="O137" i="2"/>
  <c r="O144" i="2" s="1"/>
  <c r="O146" i="2" s="1"/>
  <c r="CW114" i="2"/>
  <c r="BB137" i="2"/>
  <c r="CZ137" i="2"/>
  <c r="CZ133" i="2"/>
  <c r="AM137" i="2"/>
  <c r="AM144" i="2" s="1"/>
  <c r="AM146" i="2" s="1"/>
  <c r="AM133" i="2"/>
  <c r="AM135" i="2" s="1"/>
  <c r="BS115" i="2"/>
  <c r="AB116" i="2"/>
  <c r="BA116" i="2"/>
  <c r="Q138" i="2"/>
  <c r="CY117" i="2"/>
  <c r="CY138" i="2" s="1"/>
  <c r="BF138" i="2"/>
  <c r="BP138" i="2"/>
  <c r="CR138" i="2"/>
  <c r="BS118" i="2"/>
  <c r="AZ119" i="2"/>
  <c r="AX129" i="2"/>
  <c r="G66" i="2"/>
  <c r="BB82" i="2"/>
  <c r="AB82" i="2"/>
  <c r="V145" i="2"/>
  <c r="G95" i="2"/>
  <c r="DD95" i="2"/>
  <c r="CO95" i="2" s="1"/>
  <c r="BJ145" i="2"/>
  <c r="CW145" i="2"/>
  <c r="CW113" i="2"/>
  <c r="DG145" i="2"/>
  <c r="G97" i="2"/>
  <c r="BX145" i="2"/>
  <c r="BX113" i="2"/>
  <c r="CS106" i="2"/>
  <c r="CS145" i="2" s="1"/>
  <c r="BS106" i="2"/>
  <c r="V113" i="2"/>
  <c r="V135" i="2" s="1"/>
  <c r="BC137" i="2"/>
  <c r="BC133" i="2"/>
  <c r="CQ115" i="2"/>
  <c r="G115" i="2"/>
  <c r="BW137" i="2"/>
  <c r="BW144" i="2" s="1"/>
  <c r="BW146" i="2" s="1"/>
  <c r="BW133" i="2"/>
  <c r="BW135" i="2" s="1"/>
  <c r="BS117" i="2"/>
  <c r="CS91" i="2"/>
  <c r="BS91" i="2"/>
  <c r="BC113" i="2"/>
  <c r="CX145" i="2"/>
  <c r="DH98" i="2"/>
  <c r="CO98" i="2" s="1"/>
  <c r="U145" i="2"/>
  <c r="BL100" i="2"/>
  <c r="DC100" i="2"/>
  <c r="G100" i="2"/>
  <c r="BM105" i="2"/>
  <c r="BI113" i="2"/>
  <c r="Z133" i="2"/>
  <c r="DH114" i="2"/>
  <c r="Z137" i="2"/>
  <c r="BP133" i="2"/>
  <c r="P137" i="2"/>
  <c r="P144" i="2" s="1"/>
  <c r="P146" i="2" s="1"/>
  <c r="BG115" i="2"/>
  <c r="BG137" i="2" s="1"/>
  <c r="CX115" i="2"/>
  <c r="CX137" i="2" s="1"/>
  <c r="BS116" i="2"/>
  <c r="AZ117" i="2"/>
  <c r="BH117" i="2"/>
  <c r="BH138" i="2" s="1"/>
  <c r="AB119" i="2"/>
  <c r="BQ122" i="2"/>
  <c r="AX122" i="2" s="1"/>
  <c r="DH122" i="2"/>
  <c r="CO122" i="2" s="1"/>
  <c r="BE142" i="2"/>
  <c r="BM141" i="2"/>
  <c r="CW142" i="2"/>
  <c r="DF142" i="2"/>
  <c r="AG142" i="2"/>
  <c r="BK145" i="2"/>
  <c r="CV145" i="2"/>
  <c r="CV113" i="2"/>
  <c r="BM101" i="2"/>
  <c r="AX101" i="2" s="1"/>
  <c r="AG113" i="2"/>
  <c r="CH113" i="2"/>
  <c r="BI137" i="2"/>
  <c r="BV137" i="2"/>
  <c r="BS114" i="2"/>
  <c r="CT133" i="2"/>
  <c r="CT137" i="2"/>
  <c r="AL144" i="2"/>
  <c r="AL146" i="2" s="1"/>
  <c r="Z138" i="2"/>
  <c r="BQ117" i="2"/>
  <c r="DH117" i="2"/>
  <c r="CQ119" i="2"/>
  <c r="DH132" i="2"/>
  <c r="BQ132" i="2"/>
  <c r="AO133" i="2"/>
  <c r="H144" i="2"/>
  <c r="DB137" i="2"/>
  <c r="BC145" i="2"/>
  <c r="Z113" i="2"/>
  <c r="I137" i="2"/>
  <c r="G114" i="2"/>
  <c r="I133" i="2"/>
  <c r="AE137" i="2"/>
  <c r="AE133" i="2"/>
  <c r="BL137" i="2"/>
  <c r="DF133" i="2"/>
  <c r="DF137" i="2"/>
  <c r="CY116" i="2"/>
  <c r="BH116" i="2"/>
  <c r="CT138" i="2"/>
  <c r="DB138" i="2"/>
  <c r="AA122" i="2"/>
  <c r="AW122" i="2" s="1"/>
  <c r="CK143" i="2"/>
  <c r="CK144" i="2" s="1"/>
  <c r="CK146" i="2" s="1"/>
  <c r="CK133" i="2"/>
  <c r="CK135" i="2" s="1"/>
  <c r="CH141" i="2"/>
  <c r="CH133" i="2"/>
  <c r="DC127" i="2"/>
  <c r="M133" i="2"/>
  <c r="M135" i="2" s="1"/>
  <c r="BG145" i="2"/>
  <c r="CR145" i="2"/>
  <c r="CZ145" i="2"/>
  <c r="AQ145" i="2"/>
  <c r="G101" i="2"/>
  <c r="BB106" i="2"/>
  <c r="BB113" i="2" s="1"/>
  <c r="BU145" i="2"/>
  <c r="BU113" i="2"/>
  <c r="BU135" i="2" s="1"/>
  <c r="J133" i="2"/>
  <c r="J135" i="2" s="1"/>
  <c r="J137" i="2"/>
  <c r="J144" i="2" s="1"/>
  <c r="J146" i="2" s="1"/>
  <c r="BA114" i="2"/>
  <c r="AV137" i="2"/>
  <c r="BM142" i="2"/>
  <c r="BM137" i="2"/>
  <c r="BM133" i="2"/>
  <c r="CP133" i="2"/>
  <c r="CP137" i="2"/>
  <c r="BQ115" i="2"/>
  <c r="BC138" i="2"/>
  <c r="BK138" i="2"/>
  <c r="CF138" i="2"/>
  <c r="CU138" i="2"/>
  <c r="DC138" i="2"/>
  <c r="AB121" i="2"/>
  <c r="DA125" i="2"/>
  <c r="CO125" i="2" s="1"/>
  <c r="BS125" i="2"/>
  <c r="AP143" i="2"/>
  <c r="AB126" i="2"/>
  <c r="CC137" i="2"/>
  <c r="CC144" i="2" s="1"/>
  <c r="CC146" i="2" s="1"/>
  <c r="BH145" i="2"/>
  <c r="BH113" i="2"/>
  <c r="Z145" i="2"/>
  <c r="BV145" i="2"/>
  <c r="AD113" i="2"/>
  <c r="AD135" i="2" s="1"/>
  <c r="BV113" i="2"/>
  <c r="BP137" i="2"/>
  <c r="CQ114" i="2"/>
  <c r="BH115" i="2"/>
  <c r="AV138" i="2"/>
  <c r="BD138" i="2"/>
  <c r="BL138" i="2"/>
  <c r="CM138" i="2"/>
  <c r="CV138" i="2"/>
  <c r="DD138" i="2"/>
  <c r="AT133" i="2"/>
  <c r="AT135" i="2" s="1"/>
  <c r="U138" i="2"/>
  <c r="CG143" i="2"/>
  <c r="AC144" i="2"/>
  <c r="AC146" i="2" s="1"/>
  <c r="CS137" i="2"/>
  <c r="BI133" i="2"/>
  <c r="AY138" i="2"/>
  <c r="BG138" i="2"/>
  <c r="CW138" i="2"/>
  <c r="DF138" i="2"/>
  <c r="T133" i="2"/>
  <c r="T135" i="2" s="1"/>
  <c r="AK144" i="2"/>
  <c r="AK146" i="2" s="1"/>
  <c r="AD144" i="2"/>
  <c r="CA144" i="2"/>
  <c r="CA146" i="2" s="1"/>
  <c r="CI144" i="2"/>
  <c r="V144" i="2"/>
  <c r="BT144" i="2"/>
  <c r="BT146" i="2" s="1"/>
  <c r="CB144" i="2"/>
  <c r="CB146" i="2" s="1"/>
  <c r="CJ144" i="2"/>
  <c r="CJ146" i="2" s="1"/>
  <c r="DG13" i="1"/>
  <c r="DE145" i="1"/>
  <c r="CL145" i="1"/>
  <c r="CK145" i="1"/>
  <c r="CJ145" i="1"/>
  <c r="CG145" i="1"/>
  <c r="CF145" i="1"/>
  <c r="CE145" i="1"/>
  <c r="CD145" i="1"/>
  <c r="CC145" i="1"/>
  <c r="CB145" i="1"/>
  <c r="CA145" i="1"/>
  <c r="BZ145" i="1"/>
  <c r="BY145" i="1"/>
  <c r="BW145" i="1"/>
  <c r="BT145" i="1"/>
  <c r="AU145" i="1"/>
  <c r="AT145" i="1"/>
  <c r="AS145" i="1"/>
  <c r="AP145" i="1"/>
  <c r="AO145" i="1"/>
  <c r="AN145" i="1"/>
  <c r="AM145" i="1"/>
  <c r="AL145" i="1"/>
  <c r="AK145" i="1"/>
  <c r="AJ145" i="1"/>
  <c r="AI145" i="1"/>
  <c r="AH145" i="1"/>
  <c r="AF145" i="1"/>
  <c r="AC145" i="1"/>
  <c r="Y145" i="1"/>
  <c r="X145" i="1"/>
  <c r="T145" i="1"/>
  <c r="S145" i="1"/>
  <c r="R145" i="1"/>
  <c r="Q145" i="1"/>
  <c r="P145" i="1"/>
  <c r="O145" i="1"/>
  <c r="N145" i="1"/>
  <c r="M145" i="1"/>
  <c r="L145" i="1"/>
  <c r="K145" i="1"/>
  <c r="J145" i="1"/>
  <c r="DE143" i="1"/>
  <c r="CJ143" i="1"/>
  <c r="AS143" i="1"/>
  <c r="Z143" i="1"/>
  <c r="X143" i="1"/>
  <c r="DE142" i="1"/>
  <c r="CL142" i="1"/>
  <c r="CK142" i="1"/>
  <c r="CJ142" i="1"/>
  <c r="CI142" i="1"/>
  <c r="CH142" i="1"/>
  <c r="CG142" i="1"/>
  <c r="CD142" i="1"/>
  <c r="CC142" i="1"/>
  <c r="CB142" i="1"/>
  <c r="CA142" i="1"/>
  <c r="BZ142" i="1"/>
  <c r="BW142" i="1"/>
  <c r="BV142" i="1"/>
  <c r="BU142" i="1"/>
  <c r="BT142" i="1"/>
  <c r="AU142" i="1"/>
  <c r="AT142" i="1"/>
  <c r="AS142" i="1"/>
  <c r="AR142" i="1"/>
  <c r="AQ142" i="1"/>
  <c r="AP142" i="1"/>
  <c r="AM142" i="1"/>
  <c r="AL142" i="1"/>
  <c r="AK142" i="1"/>
  <c r="AJ142" i="1"/>
  <c r="AI142" i="1"/>
  <c r="AF142" i="1"/>
  <c r="AE142" i="1"/>
  <c r="AD142" i="1"/>
  <c r="AC142" i="1"/>
  <c r="Y142" i="1"/>
  <c r="X142" i="1"/>
  <c r="V142" i="1"/>
  <c r="U142" i="1"/>
  <c r="T142" i="1"/>
  <c r="Q142" i="1"/>
  <c r="P142" i="1"/>
  <c r="O142" i="1"/>
  <c r="N142" i="1"/>
  <c r="M142" i="1"/>
  <c r="J142" i="1"/>
  <c r="I142" i="1"/>
  <c r="H142" i="1"/>
  <c r="DE141" i="1"/>
  <c r="CL141" i="1"/>
  <c r="CK141" i="1"/>
  <c r="CJ141" i="1"/>
  <c r="CI141" i="1"/>
  <c r="CE141" i="1"/>
  <c r="CD141" i="1"/>
  <c r="CC141" i="1"/>
  <c r="CB141" i="1"/>
  <c r="CA141" i="1"/>
  <c r="BZ141" i="1"/>
  <c r="BW141" i="1"/>
  <c r="BV141" i="1"/>
  <c r="BU141" i="1"/>
  <c r="BT141" i="1"/>
  <c r="AU141" i="1"/>
  <c r="AT141" i="1"/>
  <c r="AS141" i="1"/>
  <c r="AR141" i="1"/>
  <c r="AN141" i="1"/>
  <c r="AM141" i="1"/>
  <c r="AL141" i="1"/>
  <c r="AK141" i="1"/>
  <c r="AJ141" i="1"/>
  <c r="AI141" i="1"/>
  <c r="AF141" i="1"/>
  <c r="AE141" i="1"/>
  <c r="AD141" i="1"/>
  <c r="AC141" i="1"/>
  <c r="Y141" i="1"/>
  <c r="X141" i="1"/>
  <c r="V141" i="1"/>
  <c r="U141" i="1"/>
  <c r="T141" i="1"/>
  <c r="S141" i="1"/>
  <c r="R141" i="1"/>
  <c r="Q141" i="1"/>
  <c r="P141" i="1"/>
  <c r="O141" i="1"/>
  <c r="N141" i="1"/>
  <c r="M141" i="1"/>
  <c r="L141" i="1"/>
  <c r="J141" i="1"/>
  <c r="H141" i="1"/>
  <c r="CK140" i="1"/>
  <c r="CI140" i="1"/>
  <c r="CG140" i="1"/>
  <c r="CD140" i="1"/>
  <c r="CC140" i="1"/>
  <c r="CB140" i="1"/>
  <c r="CA140" i="1"/>
  <c r="BZ140" i="1"/>
  <c r="BX140" i="1"/>
  <c r="BW140" i="1"/>
  <c r="BU140" i="1"/>
  <c r="BT140" i="1"/>
  <c r="AT140" i="1"/>
  <c r="AR140" i="1"/>
  <c r="AP140" i="1"/>
  <c r="AM140" i="1"/>
  <c r="AL140" i="1"/>
  <c r="AK140" i="1"/>
  <c r="AJ140" i="1"/>
  <c r="AI140" i="1"/>
  <c r="AG140" i="1"/>
  <c r="AF140" i="1"/>
  <c r="AD140" i="1"/>
  <c r="AC140" i="1"/>
  <c r="X140" i="1"/>
  <c r="V140" i="1"/>
  <c r="T140" i="1"/>
  <c r="S140" i="1"/>
  <c r="Q140" i="1"/>
  <c r="P140" i="1"/>
  <c r="O140" i="1"/>
  <c r="N140" i="1"/>
  <c r="M140" i="1"/>
  <c r="K140" i="1"/>
  <c r="J140" i="1"/>
  <c r="H140" i="1"/>
  <c r="DE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W139" i="1"/>
  <c r="BU139" i="1"/>
  <c r="BT139" i="1"/>
  <c r="BO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F139" i="1"/>
  <c r="AD139" i="1"/>
  <c r="AC139" i="1"/>
  <c r="Y139" i="1"/>
  <c r="X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H139" i="1"/>
  <c r="DE138" i="1"/>
  <c r="CL138" i="1"/>
  <c r="CK138" i="1"/>
  <c r="CJ138" i="1"/>
  <c r="CI138" i="1"/>
  <c r="CH138" i="1"/>
  <c r="CG138" i="1"/>
  <c r="CE138" i="1"/>
  <c r="CC138" i="1"/>
  <c r="CB138" i="1"/>
  <c r="CA138" i="1"/>
  <c r="BZ138" i="1"/>
  <c r="BY138" i="1"/>
  <c r="BX138" i="1"/>
  <c r="BW138" i="1"/>
  <c r="BU138" i="1"/>
  <c r="BT138" i="1"/>
  <c r="BG138" i="1"/>
  <c r="AU138" i="1"/>
  <c r="AT138" i="1"/>
  <c r="AS138" i="1"/>
  <c r="AR138" i="1"/>
  <c r="AQ138" i="1"/>
  <c r="AP138" i="1"/>
  <c r="AN138" i="1"/>
  <c r="AL138" i="1"/>
  <c r="AK138" i="1"/>
  <c r="AJ138" i="1"/>
  <c r="AI138" i="1"/>
  <c r="AH138" i="1"/>
  <c r="AG138" i="1"/>
  <c r="AF138" i="1"/>
  <c r="AD138" i="1"/>
  <c r="AC138" i="1"/>
  <c r="Y138" i="1"/>
  <c r="X138" i="1"/>
  <c r="V138" i="1"/>
  <c r="T138" i="1"/>
  <c r="R138" i="1"/>
  <c r="P138" i="1"/>
  <c r="O138" i="1"/>
  <c r="N138" i="1"/>
  <c r="M138" i="1"/>
  <c r="L138" i="1"/>
  <c r="K138" i="1"/>
  <c r="J138" i="1"/>
  <c r="H138" i="1"/>
  <c r="DE137" i="1"/>
  <c r="DD137" i="1"/>
  <c r="DC137" i="1"/>
  <c r="CV137" i="1"/>
  <c r="CL137" i="1"/>
  <c r="CK137" i="1"/>
  <c r="CJ137" i="1"/>
  <c r="CI137" i="1"/>
  <c r="CH137" i="1"/>
  <c r="CG137" i="1"/>
  <c r="CF137" i="1"/>
  <c r="CE137" i="1"/>
  <c r="CB137" i="1"/>
  <c r="CB144" i="1" s="1"/>
  <c r="CB146" i="1" s="1"/>
  <c r="CA137" i="1"/>
  <c r="CA144" i="1" s="1"/>
  <c r="CA146" i="1" s="1"/>
  <c r="BZ137" i="1"/>
  <c r="BZ144" i="1" s="1"/>
  <c r="BZ146" i="1" s="1"/>
  <c r="BY137" i="1"/>
  <c r="BX137" i="1"/>
  <c r="BU137" i="1"/>
  <c r="BT137" i="1"/>
  <c r="BT144" i="1" s="1"/>
  <c r="BT146" i="1" s="1"/>
  <c r="BP137" i="1"/>
  <c r="BO137" i="1"/>
  <c r="BK137" i="1"/>
  <c r="AU137" i="1"/>
  <c r="AT137" i="1"/>
  <c r="AS137" i="1"/>
  <c r="AR137" i="1"/>
  <c r="AQ137" i="1"/>
  <c r="AP137" i="1"/>
  <c r="AO137" i="1"/>
  <c r="AN137" i="1"/>
  <c r="AK137" i="1"/>
  <c r="AK144" i="1" s="1"/>
  <c r="AK146" i="1" s="1"/>
  <c r="AJ137" i="1"/>
  <c r="AI137" i="1"/>
  <c r="AH137" i="1"/>
  <c r="AG137" i="1"/>
  <c r="AD137" i="1"/>
  <c r="AC137" i="1"/>
  <c r="AC144" i="1" s="1"/>
  <c r="AC146" i="1" s="1"/>
  <c r="AC147" i="1" s="1"/>
  <c r="Y137" i="1"/>
  <c r="X137" i="1"/>
  <c r="X144" i="1" s="1"/>
  <c r="X146" i="1" s="1"/>
  <c r="V137" i="1"/>
  <c r="V144" i="1" s="1"/>
  <c r="U137" i="1"/>
  <c r="T137" i="1"/>
  <c r="T144" i="1" s="1"/>
  <c r="T146" i="1" s="1"/>
  <c r="S137" i="1"/>
  <c r="R137" i="1"/>
  <c r="L137" i="1"/>
  <c r="K137" i="1"/>
  <c r="H137" i="1"/>
  <c r="DE133" i="1"/>
  <c r="CL133" i="1"/>
  <c r="CI133" i="1"/>
  <c r="CE133" i="1"/>
  <c r="CB133" i="1"/>
  <c r="CA133" i="1"/>
  <c r="BZ133" i="1"/>
  <c r="BY133" i="1"/>
  <c r="BU133" i="1"/>
  <c r="BT133" i="1"/>
  <c r="BN133" i="1"/>
  <c r="AU133" i="1"/>
  <c r="AS133" i="1"/>
  <c r="AR133" i="1"/>
  <c r="AN133" i="1"/>
  <c r="AK133" i="1"/>
  <c r="AJ133" i="1"/>
  <c r="AI133" i="1"/>
  <c r="AH133" i="1"/>
  <c r="AD133" i="1"/>
  <c r="Y133" i="1"/>
  <c r="X133" i="1"/>
  <c r="W133" i="1"/>
  <c r="V133" i="1"/>
  <c r="T133" i="1"/>
  <c r="R133" i="1"/>
  <c r="L133" i="1"/>
  <c r="H133" i="1"/>
  <c r="DG132" i="1"/>
  <c r="DF132" i="1"/>
  <c r="DD132" i="1"/>
  <c r="DC132" i="1"/>
  <c r="DB132" i="1"/>
  <c r="DA132" i="1"/>
  <c r="CZ132" i="1"/>
  <c r="CY132" i="1"/>
  <c r="CX132" i="1"/>
  <c r="CW132" i="1"/>
  <c r="CV132" i="1"/>
  <c r="CU132" i="1"/>
  <c r="CT132" i="1"/>
  <c r="CR132" i="1"/>
  <c r="CQ132" i="1"/>
  <c r="CP132" i="1"/>
  <c r="CM132" i="1"/>
  <c r="DH132" i="1" s="1"/>
  <c r="BX132" i="1"/>
  <c r="BS132" i="1" s="1"/>
  <c r="BR132" i="1" s="1"/>
  <c r="CN132" i="1" s="1"/>
  <c r="BP132" i="1"/>
  <c r="BM132" i="1"/>
  <c r="BL132" i="1"/>
  <c r="BK132" i="1"/>
  <c r="BJ132" i="1"/>
  <c r="BI132" i="1"/>
  <c r="BH132" i="1"/>
  <c r="BG132" i="1"/>
  <c r="BF132" i="1"/>
  <c r="BE132" i="1"/>
  <c r="BD132" i="1"/>
  <c r="BC132" i="1"/>
  <c r="BA132" i="1"/>
  <c r="AZ132" i="1"/>
  <c r="AY132" i="1"/>
  <c r="AV132" i="1"/>
  <c r="BQ132" i="1" s="1"/>
  <c r="AG132" i="1"/>
  <c r="Z132" i="1"/>
  <c r="K132" i="1"/>
  <c r="G132" i="1"/>
  <c r="DJ132" i="1" s="1"/>
  <c r="DH131" i="1"/>
  <c r="DG131" i="1"/>
  <c r="DF131" i="1"/>
  <c r="DD131" i="1"/>
  <c r="DC131" i="1"/>
  <c r="DB131" i="1"/>
  <c r="DA131" i="1"/>
  <c r="CZ131" i="1"/>
  <c r="CY131" i="1"/>
  <c r="CX131" i="1"/>
  <c r="CW131" i="1"/>
  <c r="CV131" i="1"/>
  <c r="CU131" i="1"/>
  <c r="CT131" i="1"/>
  <c r="CR131" i="1"/>
  <c r="CQ131" i="1"/>
  <c r="CP131" i="1"/>
  <c r="BX131" i="1"/>
  <c r="CS131" i="1" s="1"/>
  <c r="BQ131" i="1"/>
  <c r="BP131" i="1"/>
  <c r="BM131" i="1"/>
  <c r="BL131" i="1"/>
  <c r="BK131" i="1"/>
  <c r="BJ131" i="1"/>
  <c r="BI131" i="1"/>
  <c r="BH131" i="1"/>
  <c r="BG131" i="1"/>
  <c r="BF131" i="1"/>
  <c r="BE131" i="1"/>
  <c r="BD131" i="1"/>
  <c r="BC131" i="1"/>
  <c r="BA131" i="1"/>
  <c r="AZ131" i="1"/>
  <c r="AY131" i="1"/>
  <c r="AG131" i="1"/>
  <c r="G131" i="1"/>
  <c r="DJ131" i="1" s="1"/>
  <c r="DH130" i="1"/>
  <c r="DG130" i="1"/>
  <c r="DF130" i="1"/>
  <c r="DD130" i="1"/>
  <c r="DC130" i="1"/>
  <c r="DB130" i="1"/>
  <c r="DA130" i="1"/>
  <c r="CZ130" i="1"/>
  <c r="CY130" i="1"/>
  <c r="CX130" i="1"/>
  <c r="CW130" i="1"/>
  <c r="CV130" i="1"/>
  <c r="CU130" i="1"/>
  <c r="CT130" i="1"/>
  <c r="CR130" i="1"/>
  <c r="CQ130" i="1"/>
  <c r="CP130" i="1"/>
  <c r="BX130" i="1"/>
  <c r="CS130" i="1" s="1"/>
  <c r="BQ130" i="1"/>
  <c r="BP130" i="1"/>
  <c r="BM130" i="1"/>
  <c r="BL130" i="1"/>
  <c r="BK130" i="1"/>
  <c r="BJ130" i="1"/>
  <c r="BI130" i="1"/>
  <c r="BH130" i="1"/>
  <c r="BG130" i="1"/>
  <c r="BF130" i="1"/>
  <c r="BE130" i="1"/>
  <c r="BD130" i="1"/>
  <c r="BC130" i="1"/>
  <c r="BA130" i="1"/>
  <c r="AZ130" i="1"/>
  <c r="AY130" i="1"/>
  <c r="AG130" i="1"/>
  <c r="AB130" i="1" s="1"/>
  <c r="AA130" i="1" s="1"/>
  <c r="AW130" i="1" s="1"/>
  <c r="G130" i="1"/>
  <c r="DJ130" i="1" s="1"/>
  <c r="DJ129" i="1"/>
  <c r="DH129" i="1"/>
  <c r="DG129" i="1"/>
  <c r="DF129" i="1"/>
  <c r="DD129" i="1"/>
  <c r="DC129" i="1"/>
  <c r="DB129" i="1"/>
  <c r="CZ129" i="1"/>
  <c r="CY129" i="1"/>
  <c r="CX129" i="1"/>
  <c r="CW129" i="1"/>
  <c r="CV129" i="1"/>
  <c r="CU129" i="1"/>
  <c r="CT129" i="1"/>
  <c r="CS129" i="1"/>
  <c r="CR129" i="1"/>
  <c r="CQ129" i="1"/>
  <c r="CP129" i="1"/>
  <c r="CF129" i="1"/>
  <c r="DA129" i="1" s="1"/>
  <c r="BQ129" i="1"/>
  <c r="BP129" i="1"/>
  <c r="BM129" i="1"/>
  <c r="BL129" i="1"/>
  <c r="BK129" i="1"/>
  <c r="BI129" i="1"/>
  <c r="BH129" i="1"/>
  <c r="BG129" i="1"/>
  <c r="BF129" i="1"/>
  <c r="BE129" i="1"/>
  <c r="BD129" i="1"/>
  <c r="BC129" i="1"/>
  <c r="BB129" i="1"/>
  <c r="BA129" i="1"/>
  <c r="AZ129" i="1"/>
  <c r="AY129" i="1"/>
  <c r="AO129" i="1"/>
  <c r="G129" i="1"/>
  <c r="DH128" i="1"/>
  <c r="DG128" i="1"/>
  <c r="DF128" i="1"/>
  <c r="DD128" i="1"/>
  <c r="DC128" i="1"/>
  <c r="DB128" i="1"/>
  <c r="DA128" i="1"/>
  <c r="CZ128" i="1"/>
  <c r="CY128" i="1"/>
  <c r="CX128" i="1"/>
  <c r="CW128" i="1"/>
  <c r="CV128" i="1"/>
  <c r="CU128" i="1"/>
  <c r="CT128" i="1"/>
  <c r="CR128" i="1"/>
  <c r="CQ128" i="1"/>
  <c r="CP128" i="1"/>
  <c r="BX128" i="1"/>
  <c r="BQ128" i="1"/>
  <c r="BP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G128" i="1"/>
  <c r="K128" i="1"/>
  <c r="G128" i="1"/>
  <c r="DJ128" i="1" s="1"/>
  <c r="DJ127" i="1"/>
  <c r="DH127" i="1"/>
  <c r="DG127" i="1"/>
  <c r="DF127" i="1"/>
  <c r="DD127" i="1"/>
  <c r="DC127" i="1"/>
  <c r="DC133" i="1" s="1"/>
  <c r="DB127" i="1"/>
  <c r="DA127" i="1"/>
  <c r="CZ127" i="1"/>
  <c r="CY127" i="1"/>
  <c r="CX127" i="1"/>
  <c r="CW127" i="1"/>
  <c r="CV127" i="1"/>
  <c r="CU127" i="1"/>
  <c r="CT127" i="1"/>
  <c r="CR127" i="1"/>
  <c r="CQ127" i="1"/>
  <c r="CP127" i="1"/>
  <c r="CH127" i="1"/>
  <c r="BX127" i="1"/>
  <c r="BS127" i="1" s="1"/>
  <c r="BR127" i="1" s="1"/>
  <c r="CN127" i="1" s="1"/>
  <c r="BQ127" i="1"/>
  <c r="BP127" i="1"/>
  <c r="BM127" i="1"/>
  <c r="BK127" i="1"/>
  <c r="BJ127" i="1"/>
  <c r="BI127" i="1"/>
  <c r="BH127" i="1"/>
  <c r="BG127" i="1"/>
  <c r="BF127" i="1"/>
  <c r="BE127" i="1"/>
  <c r="BD127" i="1"/>
  <c r="BC127" i="1"/>
  <c r="BA127" i="1"/>
  <c r="AZ127" i="1"/>
  <c r="AY127" i="1"/>
  <c r="AQ127" i="1"/>
  <c r="BL127" i="1" s="1"/>
  <c r="AG127" i="1"/>
  <c r="K127" i="1"/>
  <c r="K133" i="1" s="1"/>
  <c r="G127" i="1"/>
  <c r="CK126" i="1"/>
  <c r="DF126" i="1" s="1"/>
  <c r="DF143" i="1" s="1"/>
  <c r="CG126" i="1"/>
  <c r="AT126" i="1"/>
  <c r="AT133" i="1" s="1"/>
  <c r="AP126" i="1"/>
  <c r="T126" i="1"/>
  <c r="T143" i="1" s="1"/>
  <c r="G126" i="1"/>
  <c r="DJ125" i="1"/>
  <c r="DH125" i="1"/>
  <c r="DG125" i="1"/>
  <c r="DF125" i="1"/>
  <c r="DD125" i="1"/>
  <c r="DC125" i="1"/>
  <c r="DB125" i="1"/>
  <c r="CZ125" i="1"/>
  <c r="CY125" i="1"/>
  <c r="CX125" i="1"/>
  <c r="CW125" i="1"/>
  <c r="CV125" i="1"/>
  <c r="CU125" i="1"/>
  <c r="CT125" i="1"/>
  <c r="CS125" i="1"/>
  <c r="CR125" i="1"/>
  <c r="CQ125" i="1"/>
  <c r="CP125" i="1"/>
  <c r="CF125" i="1"/>
  <c r="CF138" i="1" s="1"/>
  <c r="BQ125" i="1"/>
  <c r="BP125" i="1"/>
  <c r="BO125" i="1"/>
  <c r="BM125" i="1"/>
  <c r="BL125" i="1"/>
  <c r="BK125" i="1"/>
  <c r="BI125" i="1"/>
  <c r="BH125" i="1"/>
  <c r="BG125" i="1"/>
  <c r="BF125" i="1"/>
  <c r="BE125" i="1"/>
  <c r="BD125" i="1"/>
  <c r="BC125" i="1"/>
  <c r="BB125" i="1"/>
  <c r="BA125" i="1"/>
  <c r="AZ125" i="1"/>
  <c r="AY125" i="1"/>
  <c r="AO125" i="1"/>
  <c r="AB125" i="1" s="1"/>
  <c r="G125" i="1"/>
  <c r="DH124" i="1"/>
  <c r="DG124" i="1"/>
  <c r="DF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CR124" i="1"/>
  <c r="CP124" i="1"/>
  <c r="BV124" i="1"/>
  <c r="BQ124" i="1"/>
  <c r="BP124" i="1"/>
  <c r="BM124" i="1"/>
  <c r="BK124" i="1"/>
  <c r="BJ124" i="1"/>
  <c r="BI124" i="1"/>
  <c r="BH124" i="1"/>
  <c r="BG124" i="1"/>
  <c r="BF124" i="1"/>
  <c r="BE124" i="1"/>
  <c r="BD124" i="1"/>
  <c r="BC124" i="1"/>
  <c r="BB124" i="1"/>
  <c r="BA124" i="1"/>
  <c r="AY124" i="1"/>
  <c r="AE124" i="1"/>
  <c r="AB124" i="1"/>
  <c r="U124" i="1"/>
  <c r="I124" i="1"/>
  <c r="G124" i="1"/>
  <c r="DJ124" i="1" s="1"/>
  <c r="DJ123" i="1"/>
  <c r="DG123" i="1"/>
  <c r="DF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CR123" i="1"/>
  <c r="CQ123" i="1"/>
  <c r="CP123" i="1"/>
  <c r="CM123" i="1"/>
  <c r="BP123" i="1"/>
  <c r="BM123" i="1"/>
  <c r="BL123" i="1"/>
  <c r="BK123" i="1"/>
  <c r="BJ123" i="1"/>
  <c r="BI123" i="1"/>
  <c r="BH123" i="1"/>
  <c r="BG123" i="1"/>
  <c r="BF123" i="1"/>
  <c r="BE123" i="1"/>
  <c r="BD123" i="1"/>
  <c r="BC123" i="1"/>
  <c r="BB123" i="1"/>
  <c r="BA123" i="1"/>
  <c r="AZ123" i="1"/>
  <c r="AY123" i="1"/>
  <c r="AV123" i="1"/>
  <c r="AB123" i="1" s="1"/>
  <c r="AA123" i="1"/>
  <c r="AW123" i="1" s="1"/>
  <c r="Z123" i="1"/>
  <c r="G123" i="1"/>
  <c r="DG122" i="1"/>
  <c r="DF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CR122" i="1"/>
  <c r="CQ122" i="1"/>
  <c r="CP122" i="1"/>
  <c r="CM122" i="1"/>
  <c r="BS122" i="1" s="1"/>
  <c r="BP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BA122" i="1"/>
  <c r="AZ122" i="1"/>
  <c r="AY122" i="1"/>
  <c r="AV122" i="1"/>
  <c r="AB122" i="1" s="1"/>
  <c r="Z122" i="1"/>
  <c r="G122" i="1"/>
  <c r="DJ122" i="1" s="1"/>
  <c r="DH121" i="1"/>
  <c r="DG121" i="1"/>
  <c r="DF121" i="1"/>
  <c r="DD121" i="1"/>
  <c r="DC121" i="1"/>
  <c r="DB121" i="1"/>
  <c r="DA121" i="1"/>
  <c r="CZ121" i="1"/>
  <c r="CY121" i="1"/>
  <c r="CX121" i="1"/>
  <c r="CW121" i="1"/>
  <c r="CV121" i="1"/>
  <c r="CU121" i="1"/>
  <c r="CT121" i="1"/>
  <c r="CS121" i="1"/>
  <c r="CR121" i="1"/>
  <c r="CP121" i="1"/>
  <c r="CM121" i="1"/>
  <c r="BV121" i="1"/>
  <c r="BS121" i="1" s="1"/>
  <c r="BP121" i="1"/>
  <c r="BM121" i="1"/>
  <c r="BL121" i="1"/>
  <c r="BK121" i="1"/>
  <c r="BJ121" i="1"/>
  <c r="BI121" i="1"/>
  <c r="BH121" i="1"/>
  <c r="BG121" i="1"/>
  <c r="BF121" i="1"/>
  <c r="BE121" i="1"/>
  <c r="BD121" i="1"/>
  <c r="BC121" i="1"/>
  <c r="BB121" i="1"/>
  <c r="BA121" i="1"/>
  <c r="AY121" i="1"/>
  <c r="AV121" i="1"/>
  <c r="BQ121" i="1" s="1"/>
  <c r="AE121" i="1"/>
  <c r="AB121" i="1" s="1"/>
  <c r="Z121" i="1"/>
  <c r="I121" i="1"/>
  <c r="DH120" i="1"/>
  <c r="DG120" i="1"/>
  <c r="DF120" i="1"/>
  <c r="DD120" i="1"/>
  <c r="DC120" i="1"/>
  <c r="DB120" i="1"/>
  <c r="DA120" i="1"/>
  <c r="CZ120" i="1"/>
  <c r="CX120" i="1"/>
  <c r="CW120" i="1"/>
  <c r="CV120" i="1"/>
  <c r="CU120" i="1"/>
  <c r="CT120" i="1"/>
  <c r="CS120" i="1"/>
  <c r="CR120" i="1"/>
  <c r="CP120" i="1"/>
  <c r="CM120" i="1"/>
  <c r="CD120" i="1"/>
  <c r="CY120" i="1" s="1"/>
  <c r="BV120" i="1"/>
  <c r="BP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Y120" i="1"/>
  <c r="AV120" i="1"/>
  <c r="BQ120" i="1" s="1"/>
  <c r="AE120" i="1"/>
  <c r="Z120" i="1"/>
  <c r="G120" i="1"/>
  <c r="DJ120" i="1" s="1"/>
  <c r="DG119" i="1"/>
  <c r="DF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M119" i="1"/>
  <c r="BS119" i="1" s="1"/>
  <c r="BV119" i="1"/>
  <c r="BP119" i="1"/>
  <c r="BM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Y119" i="1"/>
  <c r="AV119" i="1"/>
  <c r="BQ119" i="1" s="1"/>
  <c r="AE119" i="1"/>
  <c r="Z119" i="1"/>
  <c r="I119" i="1"/>
  <c r="G119" i="1"/>
  <c r="DJ119" i="1" s="1"/>
  <c r="DG118" i="1"/>
  <c r="DF118" i="1"/>
  <c r="DD118" i="1"/>
  <c r="DC118" i="1"/>
  <c r="DB118" i="1"/>
  <c r="CZ118" i="1"/>
  <c r="CY118" i="1"/>
  <c r="CX118" i="1"/>
  <c r="CW118" i="1"/>
  <c r="CV118" i="1"/>
  <c r="CU118" i="1"/>
  <c r="CT118" i="1"/>
  <c r="CS118" i="1"/>
  <c r="CR118" i="1"/>
  <c r="CP118" i="1"/>
  <c r="CM118" i="1"/>
  <c r="CF118" i="1"/>
  <c r="BV118" i="1"/>
  <c r="BP118" i="1"/>
  <c r="BM118" i="1"/>
  <c r="BL118" i="1"/>
  <c r="BK118" i="1"/>
  <c r="BI118" i="1"/>
  <c r="BH118" i="1"/>
  <c r="BG118" i="1"/>
  <c r="BF118" i="1"/>
  <c r="BE118" i="1"/>
  <c r="BD118" i="1"/>
  <c r="BC118" i="1"/>
  <c r="BB118" i="1"/>
  <c r="BA118" i="1"/>
  <c r="AY118" i="1"/>
  <c r="AV118" i="1"/>
  <c r="BQ118" i="1" s="1"/>
  <c r="AO118" i="1"/>
  <c r="AE118" i="1"/>
  <c r="S118" i="1"/>
  <c r="BJ118" i="1" s="1"/>
  <c r="I118" i="1"/>
  <c r="DG117" i="1"/>
  <c r="DF117" i="1"/>
  <c r="DF138" i="1" s="1"/>
  <c r="DD117" i="1"/>
  <c r="DC117" i="1"/>
  <c r="DB117" i="1"/>
  <c r="DA117" i="1"/>
  <c r="CZ117" i="1"/>
  <c r="CX117" i="1"/>
  <c r="CW117" i="1"/>
  <c r="CW138" i="1" s="1"/>
  <c r="CV117" i="1"/>
  <c r="CU117" i="1"/>
  <c r="CT117" i="1"/>
  <c r="CS117" i="1"/>
  <c r="CR117" i="1"/>
  <c r="CP117" i="1"/>
  <c r="CM117" i="1"/>
  <c r="CF117" i="1"/>
  <c r="CD117" i="1"/>
  <c r="BV117" i="1"/>
  <c r="BP117" i="1"/>
  <c r="BP138" i="1" s="1"/>
  <c r="BM117" i="1"/>
  <c r="BL117" i="1"/>
  <c r="BK117" i="1"/>
  <c r="BJ117" i="1"/>
  <c r="BI117" i="1"/>
  <c r="BG117" i="1"/>
  <c r="BF117" i="1"/>
  <c r="BE117" i="1"/>
  <c r="BE138" i="1" s="1"/>
  <c r="BD117" i="1"/>
  <c r="BC117" i="1"/>
  <c r="BB117" i="1"/>
  <c r="BA117" i="1"/>
  <c r="BA138" i="1" s="1"/>
  <c r="AY117" i="1"/>
  <c r="AV117" i="1"/>
  <c r="AO117" i="1"/>
  <c r="AM117" i="1"/>
  <c r="AM138" i="1" s="1"/>
  <c r="AE117" i="1"/>
  <c r="Z117" i="1"/>
  <c r="Q117" i="1"/>
  <c r="I117" i="1"/>
  <c r="DH116" i="1"/>
  <c r="DG116" i="1"/>
  <c r="DF116" i="1"/>
  <c r="DD116" i="1"/>
  <c r="DC116" i="1"/>
  <c r="DB116" i="1"/>
  <c r="DA116" i="1"/>
  <c r="CZ116" i="1"/>
  <c r="CX116" i="1"/>
  <c r="CW116" i="1"/>
  <c r="CV116" i="1"/>
  <c r="CU116" i="1"/>
  <c r="CT116" i="1"/>
  <c r="CS116" i="1"/>
  <c r="CQ116" i="1"/>
  <c r="CP116" i="1"/>
  <c r="CD116" i="1"/>
  <c r="CY116" i="1" s="1"/>
  <c r="BW116" i="1"/>
  <c r="BQ116" i="1"/>
  <c r="BP116" i="1"/>
  <c r="BM116" i="1"/>
  <c r="BL116" i="1"/>
  <c r="BK116" i="1"/>
  <c r="BJ116" i="1"/>
  <c r="BI116" i="1"/>
  <c r="BG116" i="1"/>
  <c r="BF116" i="1"/>
  <c r="BE116" i="1"/>
  <c r="BD116" i="1"/>
  <c r="BC116" i="1"/>
  <c r="BB116" i="1"/>
  <c r="BB137" i="1" s="1"/>
  <c r="AZ116" i="1"/>
  <c r="AY116" i="1"/>
  <c r="AM116" i="1"/>
  <c r="AF116" i="1"/>
  <c r="Q116" i="1"/>
  <c r="J116" i="1"/>
  <c r="DH115" i="1"/>
  <c r="DG115" i="1"/>
  <c r="DF115" i="1"/>
  <c r="DD115" i="1"/>
  <c r="DC115" i="1"/>
  <c r="DB115" i="1"/>
  <c r="DA115" i="1"/>
  <c r="CZ115" i="1"/>
  <c r="CW115" i="1"/>
  <c r="CV115" i="1"/>
  <c r="CU115" i="1"/>
  <c r="CT115" i="1"/>
  <c r="CS115" i="1"/>
  <c r="CP115" i="1"/>
  <c r="CM115" i="1"/>
  <c r="CD115" i="1"/>
  <c r="CC115" i="1"/>
  <c r="CC137" i="1" s="1"/>
  <c r="BW115" i="1"/>
  <c r="BV115" i="1"/>
  <c r="BP115" i="1"/>
  <c r="BM115" i="1"/>
  <c r="BM133" i="1" s="1"/>
  <c r="BL115" i="1"/>
  <c r="BK115" i="1"/>
  <c r="BJ115" i="1"/>
  <c r="BI115" i="1"/>
  <c r="BH115" i="1"/>
  <c r="BF115" i="1"/>
  <c r="BE115" i="1"/>
  <c r="BD115" i="1"/>
  <c r="BC115" i="1"/>
  <c r="BB115" i="1"/>
  <c r="AY115" i="1"/>
  <c r="AV115" i="1"/>
  <c r="AM115" i="1"/>
  <c r="AL115" i="1"/>
  <c r="AL133" i="1" s="1"/>
  <c r="AF115" i="1"/>
  <c r="BA115" i="1" s="1"/>
  <c r="AE115" i="1"/>
  <c r="AZ115" i="1" s="1"/>
  <c r="Z115" i="1"/>
  <c r="Q115" i="1"/>
  <c r="P115" i="1"/>
  <c r="I115" i="1"/>
  <c r="G115" i="1"/>
  <c r="DJ115" i="1" s="1"/>
  <c r="DG114" i="1"/>
  <c r="DG137" i="1" s="1"/>
  <c r="DF114" i="1"/>
  <c r="DD114" i="1"/>
  <c r="DC114" i="1"/>
  <c r="DB114" i="1"/>
  <c r="DA114" i="1"/>
  <c r="CZ114" i="1"/>
  <c r="CX114" i="1"/>
  <c r="CV114" i="1"/>
  <c r="CT114" i="1"/>
  <c r="CT137" i="1" s="1"/>
  <c r="CS114" i="1"/>
  <c r="CP114" i="1"/>
  <c r="CM114" i="1"/>
  <c r="CM137" i="1" s="1"/>
  <c r="BV114" i="1"/>
  <c r="BP114" i="1"/>
  <c r="BM114" i="1"/>
  <c r="BL114" i="1"/>
  <c r="BK114" i="1"/>
  <c r="BJ114" i="1"/>
  <c r="BI114" i="1"/>
  <c r="BG114" i="1"/>
  <c r="BD114" i="1"/>
  <c r="BC114" i="1"/>
  <c r="BB114" i="1"/>
  <c r="AY114" i="1"/>
  <c r="AV114" i="1"/>
  <c r="BQ114" i="1" s="1"/>
  <c r="AE114" i="1"/>
  <c r="AB114" i="1" s="1"/>
  <c r="Z114" i="1"/>
  <c r="Q114" i="1"/>
  <c r="O114" i="1"/>
  <c r="N114" i="1"/>
  <c r="M114" i="1"/>
  <c r="M137" i="1" s="1"/>
  <c r="M144" i="1" s="1"/>
  <c r="M146" i="1" s="1"/>
  <c r="J114" i="1"/>
  <c r="I114" i="1"/>
  <c r="I133" i="1" s="1"/>
  <c r="DE113" i="1"/>
  <c r="CL113" i="1"/>
  <c r="CK113" i="1"/>
  <c r="CJ113" i="1"/>
  <c r="CG113" i="1"/>
  <c r="CF113" i="1"/>
  <c r="CE113" i="1"/>
  <c r="CD113" i="1"/>
  <c r="CC113" i="1"/>
  <c r="CB113" i="1"/>
  <c r="CA113" i="1"/>
  <c r="BZ113" i="1"/>
  <c r="BY113" i="1"/>
  <c r="BW113" i="1"/>
  <c r="BT113" i="1"/>
  <c r="BO113" i="1"/>
  <c r="BN113" i="1"/>
  <c r="AU113" i="1"/>
  <c r="AT113" i="1"/>
  <c r="AS113" i="1"/>
  <c r="AP113" i="1"/>
  <c r="AO113" i="1"/>
  <c r="AN113" i="1"/>
  <c r="AM113" i="1"/>
  <c r="AL113" i="1"/>
  <c r="AK113" i="1"/>
  <c r="AJ113" i="1"/>
  <c r="AI113" i="1"/>
  <c r="AH113" i="1"/>
  <c r="AF113" i="1"/>
  <c r="Z113" i="1"/>
  <c r="Y113" i="1"/>
  <c r="X113" i="1"/>
  <c r="W113" i="1"/>
  <c r="T113" i="1"/>
  <c r="S113" i="1"/>
  <c r="R113" i="1"/>
  <c r="Q113" i="1"/>
  <c r="P113" i="1"/>
  <c r="O113" i="1"/>
  <c r="N113" i="1"/>
  <c r="M113" i="1"/>
  <c r="L113" i="1"/>
  <c r="K113" i="1"/>
  <c r="J113" i="1"/>
  <c r="DJ112" i="1"/>
  <c r="BV112" i="1"/>
  <c r="AE112" i="1"/>
  <c r="AZ112" i="1" s="1"/>
  <c r="AX112" i="1" s="1"/>
  <c r="G112" i="1"/>
  <c r="DJ111" i="1"/>
  <c r="BV111" i="1"/>
  <c r="AE111" i="1"/>
  <c r="G111" i="1"/>
  <c r="DJ110" i="1"/>
  <c r="BV110" i="1"/>
  <c r="AE110" i="1"/>
  <c r="AB110" i="1" s="1"/>
  <c r="G110" i="1"/>
  <c r="DH109" i="1"/>
  <c r="DG109" i="1"/>
  <c r="DF109" i="1"/>
  <c r="DD109" i="1"/>
  <c r="DB109" i="1"/>
  <c r="DA109" i="1"/>
  <c r="CZ109" i="1"/>
  <c r="CY109" i="1"/>
  <c r="CX109" i="1"/>
  <c r="CW109" i="1"/>
  <c r="CV109" i="1"/>
  <c r="CU109" i="1"/>
  <c r="CT109" i="1"/>
  <c r="CS109" i="1"/>
  <c r="CR109" i="1"/>
  <c r="CP109" i="1"/>
  <c r="CH109" i="1"/>
  <c r="BS109" i="1"/>
  <c r="BQ109" i="1"/>
  <c r="BP109" i="1"/>
  <c r="BM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Q109" i="1"/>
  <c r="AB109" i="1" s="1"/>
  <c r="U109" i="1"/>
  <c r="I109" i="1"/>
  <c r="G109" i="1"/>
  <c r="DH108" i="1"/>
  <c r="DG108" i="1"/>
  <c r="DF108" i="1"/>
  <c r="DC108" i="1"/>
  <c r="DB108" i="1"/>
  <c r="DA108" i="1"/>
  <c r="CZ108" i="1"/>
  <c r="CY108" i="1"/>
  <c r="CX108" i="1"/>
  <c r="CW108" i="1"/>
  <c r="CV108" i="1"/>
  <c r="CU108" i="1"/>
  <c r="CT108" i="1"/>
  <c r="CS108" i="1"/>
  <c r="CR108" i="1"/>
  <c r="CQ108" i="1"/>
  <c r="CP108" i="1"/>
  <c r="CI108" i="1"/>
  <c r="BQ108" i="1"/>
  <c r="BP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AR108" i="1"/>
  <c r="AB108" i="1" s="1"/>
  <c r="V108" i="1"/>
  <c r="BM108" i="1" s="1"/>
  <c r="DJ107" i="1"/>
  <c r="DH107" i="1"/>
  <c r="DG107" i="1"/>
  <c r="DF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Q107" i="1"/>
  <c r="CI107" i="1"/>
  <c r="BS107" i="1" s="1"/>
  <c r="BR107" i="1" s="1"/>
  <c r="CN107" i="1" s="1"/>
  <c r="BU107" i="1"/>
  <c r="CP107" i="1" s="1"/>
  <c r="BQ107" i="1"/>
  <c r="BP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R107" i="1"/>
  <c r="AD107" i="1"/>
  <c r="V107" i="1"/>
  <c r="G107" i="1" s="1"/>
  <c r="DH106" i="1"/>
  <c r="DG106" i="1"/>
  <c r="DF106" i="1"/>
  <c r="DC106" i="1"/>
  <c r="DB106" i="1"/>
  <c r="DA106" i="1"/>
  <c r="CZ106" i="1"/>
  <c r="CY106" i="1"/>
  <c r="CX106" i="1"/>
  <c r="CW106" i="1"/>
  <c r="CV106" i="1"/>
  <c r="CU106" i="1"/>
  <c r="CT106" i="1"/>
  <c r="CR106" i="1"/>
  <c r="CQ106" i="1"/>
  <c r="CI106" i="1"/>
  <c r="BX106" i="1"/>
  <c r="BV106" i="1"/>
  <c r="BU106" i="1"/>
  <c r="BQ106" i="1"/>
  <c r="BP106" i="1"/>
  <c r="BL106" i="1"/>
  <c r="BK106" i="1"/>
  <c r="BJ106" i="1"/>
  <c r="BI106" i="1"/>
  <c r="BH106" i="1"/>
  <c r="BG106" i="1"/>
  <c r="BF106" i="1"/>
  <c r="BE106" i="1"/>
  <c r="BD106" i="1"/>
  <c r="BC106" i="1"/>
  <c r="BA106" i="1"/>
  <c r="AR106" i="1"/>
  <c r="AG106" i="1"/>
  <c r="BB106" i="1" s="1"/>
  <c r="AE106" i="1"/>
  <c r="AD106" i="1"/>
  <c r="AY106" i="1" s="1"/>
  <c r="V106" i="1"/>
  <c r="BM106" i="1" s="1"/>
  <c r="H106" i="1"/>
  <c r="H145" i="1" s="1"/>
  <c r="DJ105" i="1"/>
  <c r="DG105" i="1"/>
  <c r="DF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CQ105" i="1"/>
  <c r="CP105" i="1"/>
  <c r="CM105" i="1"/>
  <c r="CI105" i="1"/>
  <c r="BP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V105" i="1"/>
  <c r="AR105" i="1"/>
  <c r="BM105" i="1" s="1"/>
  <c r="AB105" i="1"/>
  <c r="Z105" i="1"/>
  <c r="V105" i="1"/>
  <c r="G105" i="1"/>
  <c r="DH104" i="1"/>
  <c r="DG104" i="1"/>
  <c r="DF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Q104" i="1"/>
  <c r="CP104" i="1"/>
  <c r="CM104" i="1"/>
  <c r="CI104" i="1"/>
  <c r="DD104" i="1" s="1"/>
  <c r="BP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V104" i="1"/>
  <c r="BQ104" i="1" s="1"/>
  <c r="AR104" i="1"/>
  <c r="AB104" i="1" s="1"/>
  <c r="Z104" i="1"/>
  <c r="G104" i="1"/>
  <c r="DJ104" i="1" s="1"/>
  <c r="DG103" i="1"/>
  <c r="DF103" i="1"/>
  <c r="DB103" i="1"/>
  <c r="DA103" i="1"/>
  <c r="CZ103" i="1"/>
  <c r="CY103" i="1"/>
  <c r="CX103" i="1"/>
  <c r="CW103" i="1"/>
  <c r="CV103" i="1"/>
  <c r="CU103" i="1"/>
  <c r="CT103" i="1"/>
  <c r="CS103" i="1"/>
  <c r="CR103" i="1"/>
  <c r="CQ103" i="1"/>
  <c r="CP103" i="1"/>
  <c r="CM103" i="1"/>
  <c r="DH103" i="1" s="1"/>
  <c r="CI103" i="1"/>
  <c r="CH103" i="1"/>
  <c r="BP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V103" i="1"/>
  <c r="BQ103" i="1" s="1"/>
  <c r="AR103" i="1"/>
  <c r="AQ103" i="1"/>
  <c r="BL103" i="1" s="1"/>
  <c r="Z103" i="1"/>
  <c r="V103" i="1"/>
  <c r="DH102" i="1"/>
  <c r="DG102" i="1"/>
  <c r="DF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CQ102" i="1"/>
  <c r="CP102" i="1"/>
  <c r="CI102" i="1"/>
  <c r="BS102" i="1"/>
  <c r="BQ102" i="1"/>
  <c r="BP102" i="1"/>
  <c r="BO102" i="1"/>
  <c r="BO145" i="1" s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R102" i="1"/>
  <c r="G102" i="1"/>
  <c r="DH101" i="1"/>
  <c r="DG101" i="1"/>
  <c r="DF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BS101" i="1"/>
  <c r="BQ101" i="1"/>
  <c r="BP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B101" i="1"/>
  <c r="V101" i="1"/>
  <c r="G101" i="1" s="1"/>
  <c r="DJ100" i="1"/>
  <c r="DH100" i="1"/>
  <c r="DG100" i="1"/>
  <c r="DG113" i="1" s="1"/>
  <c r="DF100" i="1"/>
  <c r="DB100" i="1"/>
  <c r="DA100" i="1"/>
  <c r="CZ100" i="1"/>
  <c r="CY100" i="1"/>
  <c r="CX100" i="1"/>
  <c r="CW100" i="1"/>
  <c r="CV100" i="1"/>
  <c r="CU100" i="1"/>
  <c r="CT100" i="1"/>
  <c r="CS100" i="1"/>
  <c r="CR100" i="1"/>
  <c r="CQ100" i="1"/>
  <c r="CP100" i="1"/>
  <c r="CI100" i="1"/>
  <c r="DD100" i="1" s="1"/>
  <c r="CH100" i="1"/>
  <c r="BQ100" i="1"/>
  <c r="BP100" i="1"/>
  <c r="BM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R100" i="1"/>
  <c r="AQ100" i="1"/>
  <c r="U100" i="1"/>
  <c r="BL100" i="1" s="1"/>
  <c r="AX100" i="1" s="1"/>
  <c r="G100" i="1"/>
  <c r="DH99" i="1"/>
  <c r="DG99" i="1"/>
  <c r="DF99" i="1"/>
  <c r="DC99" i="1"/>
  <c r="DB99" i="1"/>
  <c r="DA99" i="1"/>
  <c r="CZ99" i="1"/>
  <c r="CY99" i="1"/>
  <c r="CX99" i="1"/>
  <c r="CW99" i="1"/>
  <c r="CV99" i="1"/>
  <c r="CU99" i="1"/>
  <c r="CT99" i="1"/>
  <c r="CS99" i="1"/>
  <c r="CR99" i="1"/>
  <c r="CQ99" i="1"/>
  <c r="CP99" i="1"/>
  <c r="CI99" i="1"/>
  <c r="BQ99" i="1"/>
  <c r="BP99" i="1"/>
  <c r="BL99" i="1"/>
  <c r="BK99" i="1"/>
  <c r="BJ99" i="1"/>
  <c r="BJ113" i="1" s="1"/>
  <c r="BI99" i="1"/>
  <c r="BH99" i="1"/>
  <c r="BG99" i="1"/>
  <c r="BF99" i="1"/>
  <c r="BE99" i="1"/>
  <c r="BD99" i="1"/>
  <c r="BC99" i="1"/>
  <c r="BB99" i="1"/>
  <c r="BA99" i="1"/>
  <c r="AZ99" i="1"/>
  <c r="AY99" i="1"/>
  <c r="AR99" i="1"/>
  <c r="AB99" i="1" s="1"/>
  <c r="G99" i="1"/>
  <c r="DG98" i="1"/>
  <c r="DF98" i="1"/>
  <c r="DC98" i="1"/>
  <c r="DB98" i="1"/>
  <c r="DA98" i="1"/>
  <c r="CZ98" i="1"/>
  <c r="CY98" i="1"/>
  <c r="CX98" i="1"/>
  <c r="CW98" i="1"/>
  <c r="CV98" i="1"/>
  <c r="CU98" i="1"/>
  <c r="CT98" i="1"/>
  <c r="CS98" i="1"/>
  <c r="CR98" i="1"/>
  <c r="CQ98" i="1"/>
  <c r="CP98" i="1"/>
  <c r="CM98" i="1"/>
  <c r="BS98" i="1" s="1"/>
  <c r="BP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V98" i="1"/>
  <c r="BQ98" i="1" s="1"/>
  <c r="AR98" i="1"/>
  <c r="Z98" i="1"/>
  <c r="V98" i="1"/>
  <c r="DJ97" i="1"/>
  <c r="DH97" i="1"/>
  <c r="DG97" i="1"/>
  <c r="DF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Q97" i="1"/>
  <c r="CP97" i="1"/>
  <c r="CI97" i="1"/>
  <c r="BS97" i="1" s="1"/>
  <c r="BQ97" i="1"/>
  <c r="BP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AR97" i="1"/>
  <c r="BM97" i="1" s="1"/>
  <c r="V97" i="1"/>
  <c r="G97" i="1" s="1"/>
  <c r="DH96" i="1"/>
  <c r="DG96" i="1"/>
  <c r="DF96" i="1"/>
  <c r="DC96" i="1"/>
  <c r="DB96" i="1"/>
  <c r="DA96" i="1"/>
  <c r="DA113" i="1" s="1"/>
  <c r="CZ96" i="1"/>
  <c r="CY96" i="1"/>
  <c r="CX96" i="1"/>
  <c r="CW96" i="1"/>
  <c r="CV96" i="1"/>
  <c r="CU96" i="1"/>
  <c r="CT96" i="1"/>
  <c r="CS96" i="1"/>
  <c r="CR96" i="1"/>
  <c r="CQ96" i="1"/>
  <c r="CP96" i="1"/>
  <c r="CI96" i="1"/>
  <c r="BS96" i="1" s="1"/>
  <c r="BQ96" i="1"/>
  <c r="BP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AR96" i="1"/>
  <c r="AB96" i="1" s="1"/>
  <c r="V96" i="1"/>
  <c r="DH95" i="1"/>
  <c r="DG95" i="1"/>
  <c r="DF95" i="1"/>
  <c r="DC95" i="1"/>
  <c r="DB95" i="1"/>
  <c r="DA95" i="1"/>
  <c r="CZ95" i="1"/>
  <c r="CY95" i="1"/>
  <c r="CY113" i="1" s="1"/>
  <c r="CX95" i="1"/>
  <c r="CW95" i="1"/>
  <c r="CV95" i="1"/>
  <c r="CU95" i="1"/>
  <c r="CT95" i="1"/>
  <c r="CS95" i="1"/>
  <c r="CR95" i="1"/>
  <c r="CQ95" i="1"/>
  <c r="CP95" i="1"/>
  <c r="CI95" i="1"/>
  <c r="BQ95" i="1"/>
  <c r="BP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R95" i="1"/>
  <c r="AB95" i="1" s="1"/>
  <c r="V95" i="1"/>
  <c r="DE93" i="1"/>
  <c r="CY93" i="1"/>
  <c r="CL93" i="1"/>
  <c r="CK93" i="1"/>
  <c r="CI93" i="1"/>
  <c r="CH93" i="1"/>
  <c r="CG93" i="1"/>
  <c r="CD93" i="1"/>
  <c r="CC93" i="1"/>
  <c r="CB93" i="1"/>
  <c r="CA93" i="1"/>
  <c r="BZ93" i="1"/>
  <c r="BW93" i="1"/>
  <c r="BV93" i="1"/>
  <c r="BU93" i="1"/>
  <c r="BT93" i="1"/>
  <c r="BN93" i="1"/>
  <c r="AU93" i="1"/>
  <c r="AT93" i="1"/>
  <c r="AS93" i="1"/>
  <c r="AR93" i="1"/>
  <c r="AQ93" i="1"/>
  <c r="AP93" i="1"/>
  <c r="AM93" i="1"/>
  <c r="AL93" i="1"/>
  <c r="AK93" i="1"/>
  <c r="AJ93" i="1"/>
  <c r="AI93" i="1"/>
  <c r="AH93" i="1"/>
  <c r="AF93" i="1"/>
  <c r="AE93" i="1"/>
  <c r="AD93" i="1"/>
  <c r="Y93" i="1"/>
  <c r="X93" i="1"/>
  <c r="W93" i="1"/>
  <c r="V93" i="1"/>
  <c r="U93" i="1"/>
  <c r="T93" i="1"/>
  <c r="Q93" i="1"/>
  <c r="P93" i="1"/>
  <c r="O93" i="1"/>
  <c r="N93" i="1"/>
  <c r="M93" i="1"/>
  <c r="J93" i="1"/>
  <c r="I93" i="1"/>
  <c r="H93" i="1"/>
  <c r="DJ92" i="1"/>
  <c r="DH92" i="1"/>
  <c r="DG92" i="1"/>
  <c r="DF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M92" i="1"/>
  <c r="BS92" i="1" s="1"/>
  <c r="BR92" i="1" s="1"/>
  <c r="CN92" i="1" s="1"/>
  <c r="BP92" i="1"/>
  <c r="BO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V92" i="1"/>
  <c r="AB92" i="1" s="1"/>
  <c r="AA92" i="1" s="1"/>
  <c r="AW92" i="1" s="1"/>
  <c r="Z92" i="1"/>
  <c r="G92" i="1"/>
  <c r="DJ91" i="1"/>
  <c r="DH91" i="1"/>
  <c r="DG91" i="1"/>
  <c r="DF91" i="1"/>
  <c r="DD91" i="1"/>
  <c r="DC91" i="1"/>
  <c r="DB91" i="1"/>
  <c r="CZ91" i="1"/>
  <c r="CY91" i="1"/>
  <c r="CX91" i="1"/>
  <c r="CW91" i="1"/>
  <c r="CV91" i="1"/>
  <c r="CU91" i="1"/>
  <c r="CT91" i="1"/>
  <c r="CR91" i="1"/>
  <c r="CQ91" i="1"/>
  <c r="CP91" i="1"/>
  <c r="CF91" i="1"/>
  <c r="BX91" i="1"/>
  <c r="BQ91" i="1"/>
  <c r="BP91" i="1"/>
  <c r="BO91" i="1"/>
  <c r="BM91" i="1"/>
  <c r="BL91" i="1"/>
  <c r="BK91" i="1"/>
  <c r="BI91" i="1"/>
  <c r="BH91" i="1"/>
  <c r="BG91" i="1"/>
  <c r="BF91" i="1"/>
  <c r="BE91" i="1"/>
  <c r="BD91" i="1"/>
  <c r="BC91" i="1"/>
  <c r="BA91" i="1"/>
  <c r="AZ91" i="1"/>
  <c r="AY91" i="1"/>
  <c r="AO91" i="1"/>
  <c r="AG91" i="1"/>
  <c r="S91" i="1"/>
  <c r="G91" i="1" s="1"/>
  <c r="DG90" i="1"/>
  <c r="DF90" i="1"/>
  <c r="DD90" i="1"/>
  <c r="DC90" i="1"/>
  <c r="DB90" i="1"/>
  <c r="DA90" i="1"/>
  <c r="CZ90" i="1"/>
  <c r="CY90" i="1"/>
  <c r="CX90" i="1"/>
  <c r="CW90" i="1"/>
  <c r="CV90" i="1"/>
  <c r="CU90" i="1"/>
  <c r="CT90" i="1"/>
  <c r="CR90" i="1"/>
  <c r="CQ90" i="1"/>
  <c r="CP90" i="1"/>
  <c r="CM90" i="1"/>
  <c r="BX90" i="1"/>
  <c r="BP90" i="1"/>
  <c r="BM90" i="1"/>
  <c r="BL90" i="1"/>
  <c r="BK90" i="1"/>
  <c r="BJ90" i="1"/>
  <c r="BI90" i="1"/>
  <c r="BH90" i="1"/>
  <c r="BG90" i="1"/>
  <c r="BF90" i="1"/>
  <c r="BE90" i="1"/>
  <c r="BD90" i="1"/>
  <c r="BC90" i="1"/>
  <c r="BA90" i="1"/>
  <c r="AZ90" i="1"/>
  <c r="AY90" i="1"/>
  <c r="AV90" i="1"/>
  <c r="AG90" i="1"/>
  <c r="BB90" i="1" s="1"/>
  <c r="Z90" i="1"/>
  <c r="G90" i="1"/>
  <c r="DJ90" i="1" s="1"/>
  <c r="DJ89" i="1"/>
  <c r="DH89" i="1"/>
  <c r="DG89" i="1"/>
  <c r="DF89" i="1"/>
  <c r="DD89" i="1"/>
  <c r="DC89" i="1"/>
  <c r="DB89" i="1"/>
  <c r="DA89" i="1"/>
  <c r="CZ89" i="1"/>
  <c r="CY89" i="1"/>
  <c r="CX89" i="1"/>
  <c r="CW89" i="1"/>
  <c r="CV89" i="1"/>
  <c r="CU89" i="1"/>
  <c r="CT89" i="1"/>
  <c r="CR89" i="1"/>
  <c r="CQ89" i="1"/>
  <c r="CP89" i="1"/>
  <c r="BX89" i="1"/>
  <c r="BQ89" i="1"/>
  <c r="BP89" i="1"/>
  <c r="BM89" i="1"/>
  <c r="BL89" i="1"/>
  <c r="BK89" i="1"/>
  <c r="BJ89" i="1"/>
  <c r="BI89" i="1"/>
  <c r="BH89" i="1"/>
  <c r="BG89" i="1"/>
  <c r="BF89" i="1"/>
  <c r="BE89" i="1"/>
  <c r="BD89" i="1"/>
  <c r="BC89" i="1"/>
  <c r="BA89" i="1"/>
  <c r="AZ89" i="1"/>
  <c r="AY89" i="1"/>
  <c r="AG89" i="1"/>
  <c r="AB89" i="1" s="1"/>
  <c r="AA89" i="1" s="1"/>
  <c r="AW89" i="1" s="1"/>
  <c r="G89" i="1"/>
  <c r="DH88" i="1"/>
  <c r="DG88" i="1"/>
  <c r="DF88" i="1"/>
  <c r="DD88" i="1"/>
  <c r="DC88" i="1"/>
  <c r="DB88" i="1"/>
  <c r="DA88" i="1"/>
  <c r="CZ88" i="1"/>
  <c r="CY88" i="1"/>
  <c r="CX88" i="1"/>
  <c r="CW88" i="1"/>
  <c r="CV88" i="1"/>
  <c r="CU88" i="1"/>
  <c r="CT88" i="1"/>
  <c r="CR88" i="1"/>
  <c r="CQ88" i="1"/>
  <c r="CP88" i="1"/>
  <c r="BX88" i="1"/>
  <c r="BQ88" i="1"/>
  <c r="BP88" i="1"/>
  <c r="BM88" i="1"/>
  <c r="BL88" i="1"/>
  <c r="BK88" i="1"/>
  <c r="BJ88" i="1"/>
  <c r="BI88" i="1"/>
  <c r="BH88" i="1"/>
  <c r="BG88" i="1"/>
  <c r="BF88" i="1"/>
  <c r="BE88" i="1"/>
  <c r="BD88" i="1"/>
  <c r="BC88" i="1"/>
  <c r="BA88" i="1"/>
  <c r="AZ88" i="1"/>
  <c r="AY88" i="1"/>
  <c r="AG88" i="1"/>
  <c r="G88" i="1"/>
  <c r="DJ88" i="1" s="1"/>
  <c r="DH87" i="1"/>
  <c r="DG87" i="1"/>
  <c r="DF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CR87" i="1"/>
  <c r="CQ87" i="1"/>
  <c r="CP87" i="1"/>
  <c r="BS87" i="1"/>
  <c r="BQ87" i="1"/>
  <c r="BP87" i="1"/>
  <c r="BO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/>
  <c r="DK87" i="1" s="1"/>
  <c r="AB87" i="1"/>
  <c r="G87" i="1"/>
  <c r="AA87" i="1" s="1"/>
  <c r="AW87" i="1" s="1"/>
  <c r="DH86" i="1"/>
  <c r="DG86" i="1"/>
  <c r="DF86" i="1"/>
  <c r="DD86" i="1"/>
  <c r="DC86" i="1"/>
  <c r="DB86" i="1"/>
  <c r="DA86" i="1"/>
  <c r="CZ86" i="1"/>
  <c r="CY86" i="1"/>
  <c r="CX86" i="1"/>
  <c r="CW86" i="1"/>
  <c r="CV86" i="1"/>
  <c r="CU86" i="1"/>
  <c r="CT86" i="1"/>
  <c r="CR86" i="1"/>
  <c r="CQ86" i="1"/>
  <c r="CP86" i="1"/>
  <c r="BX86" i="1"/>
  <c r="CS86" i="1" s="1"/>
  <c r="BQ86" i="1"/>
  <c r="BP86" i="1"/>
  <c r="BM86" i="1"/>
  <c r="BL86" i="1"/>
  <c r="BK86" i="1"/>
  <c r="BJ86" i="1"/>
  <c r="BI86" i="1"/>
  <c r="BH86" i="1"/>
  <c r="BG86" i="1"/>
  <c r="BF86" i="1"/>
  <c r="BE86" i="1"/>
  <c r="BD86" i="1"/>
  <c r="BC86" i="1"/>
  <c r="BA86" i="1"/>
  <c r="AZ86" i="1"/>
  <c r="AY86" i="1"/>
  <c r="AG86" i="1"/>
  <c r="BB86" i="1" s="1"/>
  <c r="G86" i="1"/>
  <c r="DJ85" i="1"/>
  <c r="DH85" i="1"/>
  <c r="DG85" i="1"/>
  <c r="DF85" i="1"/>
  <c r="DD85" i="1"/>
  <c r="DC85" i="1"/>
  <c r="DB85" i="1"/>
  <c r="CZ85" i="1"/>
  <c r="CY85" i="1"/>
  <c r="CX85" i="1"/>
  <c r="CW85" i="1"/>
  <c r="CV85" i="1"/>
  <c r="CU85" i="1"/>
  <c r="CT85" i="1"/>
  <c r="CS85" i="1"/>
  <c r="CR85" i="1"/>
  <c r="CQ85" i="1"/>
  <c r="CP85" i="1"/>
  <c r="CF85" i="1"/>
  <c r="BQ85" i="1"/>
  <c r="BP85" i="1"/>
  <c r="BO85" i="1"/>
  <c r="BM85" i="1"/>
  <c r="BL85" i="1"/>
  <c r="BK85" i="1"/>
  <c r="BI85" i="1"/>
  <c r="BH85" i="1"/>
  <c r="BG85" i="1"/>
  <c r="BF85" i="1"/>
  <c r="BE85" i="1"/>
  <c r="BD85" i="1"/>
  <c r="BC85" i="1"/>
  <c r="BA85" i="1"/>
  <c r="AZ85" i="1"/>
  <c r="AY85" i="1"/>
  <c r="AO85" i="1"/>
  <c r="BJ85" i="1" s="1"/>
  <c r="AG85" i="1"/>
  <c r="G85" i="1"/>
  <c r="DH84" i="1"/>
  <c r="DG84" i="1"/>
  <c r="DF84" i="1"/>
  <c r="DD84" i="1"/>
  <c r="DC84" i="1"/>
  <c r="DB84" i="1"/>
  <c r="CZ84" i="1"/>
  <c r="CY84" i="1"/>
  <c r="CX84" i="1"/>
  <c r="CW84" i="1"/>
  <c r="CV84" i="1"/>
  <c r="CU84" i="1"/>
  <c r="CT84" i="1"/>
  <c r="CR84" i="1"/>
  <c r="CQ84" i="1"/>
  <c r="CP84" i="1"/>
  <c r="CF84" i="1"/>
  <c r="BX84" i="1"/>
  <c r="BQ84" i="1"/>
  <c r="BP84" i="1"/>
  <c r="BM84" i="1"/>
  <c r="BL84" i="1"/>
  <c r="BK84" i="1"/>
  <c r="BI84" i="1"/>
  <c r="BH84" i="1"/>
  <c r="BG84" i="1"/>
  <c r="BF84" i="1"/>
  <c r="BE84" i="1"/>
  <c r="BD84" i="1"/>
  <c r="BC84" i="1"/>
  <c r="BA84" i="1"/>
  <c r="AZ84" i="1"/>
  <c r="AY84" i="1"/>
  <c r="AO84" i="1"/>
  <c r="AG84" i="1"/>
  <c r="BB84" i="1" s="1"/>
  <c r="S84" i="1"/>
  <c r="DJ83" i="1"/>
  <c r="DH83" i="1"/>
  <c r="DG83" i="1"/>
  <c r="DF83" i="1"/>
  <c r="DD83" i="1"/>
  <c r="DC83" i="1"/>
  <c r="DB83" i="1"/>
  <c r="CZ83" i="1"/>
  <c r="CY83" i="1"/>
  <c r="CX83" i="1"/>
  <c r="CW83" i="1"/>
  <c r="CV83" i="1"/>
  <c r="CU83" i="1"/>
  <c r="CT83" i="1"/>
  <c r="CR83" i="1"/>
  <c r="CQ83" i="1"/>
  <c r="CP83" i="1"/>
  <c r="CF83" i="1"/>
  <c r="DA83" i="1" s="1"/>
  <c r="BX83" i="1"/>
  <c r="BQ83" i="1"/>
  <c r="BP83" i="1"/>
  <c r="BM83" i="1"/>
  <c r="BL83" i="1"/>
  <c r="BK83" i="1"/>
  <c r="BI83" i="1"/>
  <c r="BH83" i="1"/>
  <c r="BG83" i="1"/>
  <c r="BF83" i="1"/>
  <c r="BE83" i="1"/>
  <c r="BD83" i="1"/>
  <c r="BC83" i="1"/>
  <c r="BA83" i="1"/>
  <c r="AZ83" i="1"/>
  <c r="AY83" i="1"/>
  <c r="AO83" i="1"/>
  <c r="BJ83" i="1" s="1"/>
  <c r="AG83" i="1"/>
  <c r="G83" i="1"/>
  <c r="DH82" i="1"/>
  <c r="DG82" i="1"/>
  <c r="DF82" i="1"/>
  <c r="DD82" i="1"/>
  <c r="DC82" i="1"/>
  <c r="DB82" i="1"/>
  <c r="CZ82" i="1"/>
  <c r="CY82" i="1"/>
  <c r="CX82" i="1"/>
  <c r="CW82" i="1"/>
  <c r="CV82" i="1"/>
  <c r="CU82" i="1"/>
  <c r="CT82" i="1"/>
  <c r="CS82" i="1"/>
  <c r="CR82" i="1"/>
  <c r="CQ82" i="1"/>
  <c r="CP82" i="1"/>
  <c r="CF82" i="1"/>
  <c r="BQ82" i="1"/>
  <c r="BP82" i="1"/>
  <c r="BM82" i="1"/>
  <c r="BL82" i="1"/>
  <c r="BK82" i="1"/>
  <c r="BI82" i="1"/>
  <c r="BH82" i="1"/>
  <c r="BG82" i="1"/>
  <c r="BF82" i="1"/>
  <c r="BE82" i="1"/>
  <c r="BD82" i="1"/>
  <c r="BC82" i="1"/>
  <c r="BA82" i="1"/>
  <c r="AZ82" i="1"/>
  <c r="AY82" i="1"/>
  <c r="AO82" i="1"/>
  <c r="BJ82" i="1" s="1"/>
  <c r="AG82" i="1"/>
  <c r="BB82" i="1" s="1"/>
  <c r="S82" i="1"/>
  <c r="G82" i="1" s="1"/>
  <c r="DJ82" i="1" s="1"/>
  <c r="DH81" i="1"/>
  <c r="DG81" i="1"/>
  <c r="DF81" i="1"/>
  <c r="DD81" i="1"/>
  <c r="DC81" i="1"/>
  <c r="DB81" i="1"/>
  <c r="DA81" i="1"/>
  <c r="CZ81" i="1"/>
  <c r="CY81" i="1"/>
  <c r="CX81" i="1"/>
  <c r="CW81" i="1"/>
  <c r="CV81" i="1"/>
  <c r="CU81" i="1"/>
  <c r="CT81" i="1"/>
  <c r="CR81" i="1"/>
  <c r="CQ81" i="1"/>
  <c r="CP81" i="1"/>
  <c r="BX81" i="1"/>
  <c r="CS81" i="1" s="1"/>
  <c r="CO81" i="1" s="1"/>
  <c r="BQ81" i="1"/>
  <c r="BP81" i="1"/>
  <c r="BM81" i="1"/>
  <c r="BL81" i="1"/>
  <c r="BK81" i="1"/>
  <c r="BJ81" i="1"/>
  <c r="BI81" i="1"/>
  <c r="BH81" i="1"/>
  <c r="BG81" i="1"/>
  <c r="BF81" i="1"/>
  <c r="BE81" i="1"/>
  <c r="BD81" i="1"/>
  <c r="BC81" i="1"/>
  <c r="BA81" i="1"/>
  <c r="AZ81" i="1"/>
  <c r="AY81" i="1"/>
  <c r="AG81" i="1"/>
  <c r="G81" i="1"/>
  <c r="DJ81" i="1" s="1"/>
  <c r="DH80" i="1"/>
  <c r="DG80" i="1"/>
  <c r="DF80" i="1"/>
  <c r="DD80" i="1"/>
  <c r="DC80" i="1"/>
  <c r="DB80" i="1"/>
  <c r="DA80" i="1"/>
  <c r="CZ80" i="1"/>
  <c r="CY80" i="1"/>
  <c r="CX80" i="1"/>
  <c r="CW80" i="1"/>
  <c r="CV80" i="1"/>
  <c r="CU80" i="1"/>
  <c r="CT80" i="1"/>
  <c r="CR80" i="1"/>
  <c r="CQ80" i="1"/>
  <c r="CP80" i="1"/>
  <c r="BX80" i="1"/>
  <c r="BQ80" i="1"/>
  <c r="BP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G80" i="1"/>
  <c r="G80" i="1"/>
  <c r="DJ80" i="1" s="1"/>
  <c r="DJ79" i="1"/>
  <c r="DH79" i="1"/>
  <c r="DD79" i="1"/>
  <c r="DC79" i="1"/>
  <c r="DB79" i="1"/>
  <c r="DA79" i="1"/>
  <c r="CZ79" i="1"/>
  <c r="CY79" i="1"/>
  <c r="CR79" i="1"/>
  <c r="CQ79" i="1"/>
  <c r="CP79" i="1"/>
  <c r="BX79" i="1"/>
  <c r="BQ79" i="1"/>
  <c r="BP79" i="1"/>
  <c r="BM79" i="1"/>
  <c r="BL79" i="1"/>
  <c r="BK79" i="1"/>
  <c r="BJ79" i="1"/>
  <c r="BI79" i="1"/>
  <c r="BH79" i="1"/>
  <c r="BA79" i="1"/>
  <c r="AZ79" i="1"/>
  <c r="AY79" i="1"/>
  <c r="AG79" i="1"/>
  <c r="BB79" i="1" s="1"/>
  <c r="AX79" i="1" s="1"/>
  <c r="G79" i="1"/>
  <c r="DH78" i="1"/>
  <c r="DD78" i="1"/>
  <c r="DC78" i="1"/>
  <c r="DB78" i="1"/>
  <c r="DA78" i="1"/>
  <c r="CZ78" i="1"/>
  <c r="CY78" i="1"/>
  <c r="CR78" i="1"/>
  <c r="CQ78" i="1"/>
  <c r="CP78" i="1"/>
  <c r="BX78" i="1"/>
  <c r="BS78" i="1" s="1"/>
  <c r="BQ78" i="1"/>
  <c r="BP78" i="1"/>
  <c r="BM78" i="1"/>
  <c r="BL78" i="1"/>
  <c r="BK78" i="1"/>
  <c r="BJ78" i="1"/>
  <c r="BI78" i="1"/>
  <c r="BH78" i="1"/>
  <c r="BA78" i="1"/>
  <c r="AZ78" i="1"/>
  <c r="AY78" i="1"/>
  <c r="AG78" i="1"/>
  <c r="K78" i="1"/>
  <c r="G78" i="1"/>
  <c r="DH77" i="1"/>
  <c r="DD77" i="1"/>
  <c r="DC77" i="1"/>
  <c r="DB77" i="1"/>
  <c r="DA77" i="1"/>
  <c r="CZ77" i="1"/>
  <c r="CY77" i="1"/>
  <c r="CR77" i="1"/>
  <c r="CQ77" i="1"/>
  <c r="CP77" i="1"/>
  <c r="BS77" i="1"/>
  <c r="BQ77" i="1"/>
  <c r="BP77" i="1"/>
  <c r="BM77" i="1"/>
  <c r="BL77" i="1"/>
  <c r="BJ77" i="1"/>
  <c r="BI77" i="1"/>
  <c r="BH77" i="1"/>
  <c r="BB77" i="1"/>
  <c r="BA77" i="1"/>
  <c r="AZ77" i="1"/>
  <c r="AY77" i="1"/>
  <c r="AX77" i="1"/>
  <c r="AB77" i="1"/>
  <c r="K77" i="1"/>
  <c r="DH76" i="1"/>
  <c r="DD76" i="1"/>
  <c r="DC76" i="1"/>
  <c r="DB76" i="1"/>
  <c r="DA76" i="1"/>
  <c r="CZ76" i="1"/>
  <c r="CY76" i="1"/>
  <c r="CS76" i="1"/>
  <c r="CR76" i="1"/>
  <c r="CQ76" i="1"/>
  <c r="CP76" i="1"/>
  <c r="BS76" i="1"/>
  <c r="BR76" i="1"/>
  <c r="CN76" i="1" s="1"/>
  <c r="BQ76" i="1"/>
  <c r="BP76" i="1"/>
  <c r="BM76" i="1"/>
  <c r="BL76" i="1"/>
  <c r="BJ76" i="1"/>
  <c r="BI76" i="1"/>
  <c r="BH76" i="1"/>
  <c r="BB76" i="1"/>
  <c r="BA76" i="1"/>
  <c r="AX76" i="1" s="1"/>
  <c r="DK76" i="1" s="1"/>
  <c r="AZ76" i="1"/>
  <c r="AY76" i="1"/>
  <c r="AB76" i="1"/>
  <c r="K76" i="1"/>
  <c r="G76" i="1"/>
  <c r="AA76" i="1" s="1"/>
  <c r="AW76" i="1" s="1"/>
  <c r="DG75" i="1"/>
  <c r="DF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R75" i="1"/>
  <c r="CQ75" i="1"/>
  <c r="CP75" i="1"/>
  <c r="CM75" i="1"/>
  <c r="BS75" i="1" s="1"/>
  <c r="BP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V75" i="1"/>
  <c r="AB75" i="1" s="1"/>
  <c r="Z75" i="1"/>
  <c r="G75" i="1"/>
  <c r="DJ75" i="1" s="1"/>
  <c r="DH74" i="1"/>
  <c r="DG74" i="1"/>
  <c r="DF74" i="1"/>
  <c r="DD74" i="1"/>
  <c r="DC74" i="1"/>
  <c r="DB74" i="1"/>
  <c r="DA74" i="1"/>
  <c r="CZ74" i="1"/>
  <c r="CY74" i="1"/>
  <c r="CX74" i="1"/>
  <c r="CW74" i="1"/>
  <c r="CV74" i="1"/>
  <c r="CU74" i="1"/>
  <c r="CT74" i="1"/>
  <c r="CR74" i="1"/>
  <c r="CQ74" i="1"/>
  <c r="CP74" i="1"/>
  <c r="BX74" i="1"/>
  <c r="CS74" i="1" s="1"/>
  <c r="BQ74" i="1"/>
  <c r="BP74" i="1"/>
  <c r="BM74" i="1"/>
  <c r="BL74" i="1"/>
  <c r="BK74" i="1"/>
  <c r="BJ74" i="1"/>
  <c r="BI74" i="1"/>
  <c r="BH74" i="1"/>
  <c r="BG74" i="1"/>
  <c r="BF74" i="1"/>
  <c r="BF93" i="1" s="1"/>
  <c r="BE74" i="1"/>
  <c r="BD74" i="1"/>
  <c r="BC74" i="1"/>
  <c r="BA74" i="1"/>
  <c r="AZ74" i="1"/>
  <c r="AY74" i="1"/>
  <c r="AG74" i="1"/>
  <c r="AB74" i="1" s="1"/>
  <c r="K74" i="1"/>
  <c r="G74" i="1"/>
  <c r="DJ74" i="1" s="1"/>
  <c r="DJ73" i="1"/>
  <c r="DH73" i="1"/>
  <c r="DG73" i="1"/>
  <c r="DF73" i="1"/>
  <c r="DD73" i="1"/>
  <c r="DC73" i="1"/>
  <c r="DB73" i="1"/>
  <c r="DA73" i="1"/>
  <c r="CZ73" i="1"/>
  <c r="CY73" i="1"/>
  <c r="CX73" i="1"/>
  <c r="CW73" i="1"/>
  <c r="CV73" i="1"/>
  <c r="CU73" i="1"/>
  <c r="CT73" i="1"/>
  <c r="CR73" i="1"/>
  <c r="CQ73" i="1"/>
  <c r="CP73" i="1"/>
  <c r="BX73" i="1"/>
  <c r="BQ73" i="1"/>
  <c r="BP73" i="1"/>
  <c r="BM73" i="1"/>
  <c r="BL73" i="1"/>
  <c r="BK73" i="1"/>
  <c r="BJ73" i="1"/>
  <c r="BI73" i="1"/>
  <c r="BH73" i="1"/>
  <c r="BG73" i="1"/>
  <c r="BF73" i="1"/>
  <c r="BE73" i="1"/>
  <c r="BD73" i="1"/>
  <c r="BC73" i="1"/>
  <c r="BA73" i="1"/>
  <c r="AZ73" i="1"/>
  <c r="AY73" i="1"/>
  <c r="AG73" i="1"/>
  <c r="K73" i="1"/>
  <c r="G73" i="1"/>
  <c r="DH72" i="1"/>
  <c r="DG72" i="1"/>
  <c r="DF72" i="1"/>
  <c r="DD72" i="1"/>
  <c r="DC72" i="1"/>
  <c r="DB72" i="1"/>
  <c r="DA72" i="1"/>
  <c r="CZ72" i="1"/>
  <c r="CY72" i="1"/>
  <c r="CX72" i="1"/>
  <c r="CW72" i="1"/>
  <c r="CV72" i="1"/>
  <c r="CU72" i="1"/>
  <c r="CT72" i="1"/>
  <c r="CR72" i="1"/>
  <c r="CQ72" i="1"/>
  <c r="CP72" i="1"/>
  <c r="BX72" i="1"/>
  <c r="BQ72" i="1"/>
  <c r="BP72" i="1"/>
  <c r="BO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G72" i="1"/>
  <c r="AB72" i="1"/>
  <c r="AA72" i="1" s="1"/>
  <c r="AW72" i="1" s="1"/>
  <c r="G72" i="1"/>
  <c r="DJ72" i="1" s="1"/>
  <c r="DJ71" i="1"/>
  <c r="DH71" i="1"/>
  <c r="DG71" i="1"/>
  <c r="DF71" i="1"/>
  <c r="DD71" i="1"/>
  <c r="DC71" i="1"/>
  <c r="DB71" i="1"/>
  <c r="DA71" i="1"/>
  <c r="CZ71" i="1"/>
  <c r="CY71" i="1"/>
  <c r="CX71" i="1"/>
  <c r="CW71" i="1"/>
  <c r="CV71" i="1"/>
  <c r="CU71" i="1"/>
  <c r="CT71" i="1"/>
  <c r="CR71" i="1"/>
  <c r="CQ71" i="1"/>
  <c r="CP71" i="1"/>
  <c r="BX71" i="1"/>
  <c r="BS71" i="1" s="1"/>
  <c r="BR71" i="1" s="1"/>
  <c r="CN71" i="1" s="1"/>
  <c r="BQ71" i="1"/>
  <c r="BP71" i="1"/>
  <c r="BO71" i="1"/>
  <c r="BM71" i="1"/>
  <c r="BL71" i="1"/>
  <c r="BK71" i="1"/>
  <c r="BJ71" i="1"/>
  <c r="BI71" i="1"/>
  <c r="BH71" i="1"/>
  <c r="BG71" i="1"/>
  <c r="BF71" i="1"/>
  <c r="BE71" i="1"/>
  <c r="BD71" i="1"/>
  <c r="BC71" i="1"/>
  <c r="BA71" i="1"/>
  <c r="AZ71" i="1"/>
  <c r="AY71" i="1"/>
  <c r="AG71" i="1"/>
  <c r="G71" i="1"/>
  <c r="DG70" i="1"/>
  <c r="DF70" i="1"/>
  <c r="DD70" i="1"/>
  <c r="DC70" i="1"/>
  <c r="DB70" i="1"/>
  <c r="CZ70" i="1"/>
  <c r="CY70" i="1"/>
  <c r="CX70" i="1"/>
  <c r="CW70" i="1"/>
  <c r="CV70" i="1"/>
  <c r="CU70" i="1"/>
  <c r="CT70" i="1"/>
  <c r="CS70" i="1"/>
  <c r="CR70" i="1"/>
  <c r="CQ70" i="1"/>
  <c r="CP70" i="1"/>
  <c r="CM70" i="1"/>
  <c r="DH70" i="1" s="1"/>
  <c r="CF70" i="1"/>
  <c r="BP70" i="1"/>
  <c r="BM70" i="1"/>
  <c r="BL70" i="1"/>
  <c r="BK70" i="1"/>
  <c r="BI70" i="1"/>
  <c r="BH70" i="1"/>
  <c r="BG70" i="1"/>
  <c r="BF70" i="1"/>
  <c r="BE70" i="1"/>
  <c r="BD70" i="1"/>
  <c r="BC70" i="1"/>
  <c r="BB70" i="1"/>
  <c r="BA70" i="1"/>
  <c r="AZ70" i="1"/>
  <c r="AY70" i="1"/>
  <c r="AV70" i="1"/>
  <c r="BQ70" i="1" s="1"/>
  <c r="AO70" i="1"/>
  <c r="AB70" i="1" s="1"/>
  <c r="Z70" i="1"/>
  <c r="G70" i="1"/>
  <c r="DJ70" i="1" s="1"/>
  <c r="DG69" i="1"/>
  <c r="DF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CQ69" i="1"/>
  <c r="CP69" i="1"/>
  <c r="CM69" i="1"/>
  <c r="BP69" i="1"/>
  <c r="BO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/>
  <c r="AV69" i="1"/>
  <c r="AB69" i="1" s="1"/>
  <c r="Z69" i="1"/>
  <c r="DG68" i="1"/>
  <c r="DF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CQ68" i="1"/>
  <c r="CP68" i="1"/>
  <c r="CM68" i="1"/>
  <c r="BS68" i="1"/>
  <c r="BR68" i="1" s="1"/>
  <c r="CN68" i="1" s="1"/>
  <c r="BP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V68" i="1"/>
  <c r="AB68" i="1" s="1"/>
  <c r="Z68" i="1"/>
  <c r="G68" i="1"/>
  <c r="DJ68" i="1" s="1"/>
  <c r="DG67" i="1"/>
  <c r="DF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Q67" i="1"/>
  <c r="CP67" i="1"/>
  <c r="CM67" i="1"/>
  <c r="BS67" i="1" s="1"/>
  <c r="BP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V67" i="1"/>
  <c r="BQ67" i="1" s="1"/>
  <c r="Z67" i="1"/>
  <c r="DH66" i="1"/>
  <c r="DG66" i="1"/>
  <c r="DF66" i="1"/>
  <c r="DD66" i="1"/>
  <c r="DC66" i="1"/>
  <c r="DB66" i="1"/>
  <c r="DA66" i="1"/>
  <c r="CY66" i="1"/>
  <c r="CX66" i="1"/>
  <c r="CW66" i="1"/>
  <c r="CV66" i="1"/>
  <c r="CU66" i="1"/>
  <c r="CT66" i="1"/>
  <c r="CR66" i="1"/>
  <c r="CQ66" i="1"/>
  <c r="CP66" i="1"/>
  <c r="CE66" i="1"/>
  <c r="CE142" i="1" s="1"/>
  <c r="BX66" i="1"/>
  <c r="BQ66" i="1"/>
  <c r="BP66" i="1"/>
  <c r="BM66" i="1"/>
  <c r="BL66" i="1"/>
  <c r="BK66" i="1"/>
  <c r="BJ66" i="1"/>
  <c r="BH66" i="1"/>
  <c r="BG66" i="1"/>
  <c r="BF66" i="1"/>
  <c r="BE66" i="1"/>
  <c r="BD66" i="1"/>
  <c r="BC66" i="1"/>
  <c r="BA66" i="1"/>
  <c r="AZ66" i="1"/>
  <c r="AY66" i="1"/>
  <c r="AN66" i="1"/>
  <c r="AG66" i="1"/>
  <c r="BB66" i="1" s="1"/>
  <c r="R66" i="1"/>
  <c r="K66" i="1"/>
  <c r="G66" i="1"/>
  <c r="DJ66" i="1" s="1"/>
  <c r="DH65" i="1"/>
  <c r="DG65" i="1"/>
  <c r="DF65" i="1"/>
  <c r="DD65" i="1"/>
  <c r="DC65" i="1"/>
  <c r="DB65" i="1"/>
  <c r="CZ65" i="1"/>
  <c r="CY65" i="1"/>
  <c r="CX65" i="1"/>
  <c r="CW65" i="1"/>
  <c r="CV65" i="1"/>
  <c r="CU65" i="1"/>
  <c r="CT65" i="1"/>
  <c r="CR65" i="1"/>
  <c r="CQ65" i="1"/>
  <c r="CP65" i="1"/>
  <c r="CF65" i="1"/>
  <c r="DA65" i="1" s="1"/>
  <c r="BX65" i="1"/>
  <c r="BQ65" i="1"/>
  <c r="BP65" i="1"/>
  <c r="BM65" i="1"/>
  <c r="BL65" i="1"/>
  <c r="BK65" i="1"/>
  <c r="BI65" i="1"/>
  <c r="BH65" i="1"/>
  <c r="BG65" i="1"/>
  <c r="BF65" i="1"/>
  <c r="BE65" i="1"/>
  <c r="BD65" i="1"/>
  <c r="BC65" i="1"/>
  <c r="BA65" i="1"/>
  <c r="AZ65" i="1"/>
  <c r="AY65" i="1"/>
  <c r="AO65" i="1"/>
  <c r="BJ65" i="1" s="1"/>
  <c r="AG65" i="1"/>
  <c r="S65" i="1"/>
  <c r="K65" i="1"/>
  <c r="K93" i="1" s="1"/>
  <c r="G65" i="1"/>
  <c r="DJ65" i="1" s="1"/>
  <c r="DJ64" i="1"/>
  <c r="DH64" i="1"/>
  <c r="DG64" i="1"/>
  <c r="DF64" i="1"/>
  <c r="DD64" i="1"/>
  <c r="DC64" i="1"/>
  <c r="DB64" i="1"/>
  <c r="CZ64" i="1"/>
  <c r="CY64" i="1"/>
  <c r="CX64" i="1"/>
  <c r="CW64" i="1"/>
  <c r="CV64" i="1"/>
  <c r="CU64" i="1"/>
  <c r="CT64" i="1"/>
  <c r="CS64" i="1"/>
  <c r="CR64" i="1"/>
  <c r="CQ64" i="1"/>
  <c r="CP64" i="1"/>
  <c r="CF64" i="1"/>
  <c r="BQ64" i="1"/>
  <c r="BP64" i="1"/>
  <c r="BO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AX64" i="1" s="1"/>
  <c r="BA64" i="1"/>
  <c r="AZ64" i="1"/>
  <c r="AY64" i="1"/>
  <c r="AO64" i="1"/>
  <c r="AB64" i="1"/>
  <c r="G64" i="1"/>
  <c r="DG63" i="1"/>
  <c r="DG93" i="1" s="1"/>
  <c r="DF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CR63" i="1"/>
  <c r="CQ63" i="1"/>
  <c r="CP63" i="1"/>
  <c r="CP93" i="1" s="1"/>
  <c r="CM63" i="1"/>
  <c r="DH63" i="1" s="1"/>
  <c r="CO63" i="1" s="1"/>
  <c r="BP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V63" i="1"/>
  <c r="BQ63" i="1" s="1"/>
  <c r="G63" i="1"/>
  <c r="DJ63" i="1" s="1"/>
  <c r="DG62" i="1"/>
  <c r="DF62" i="1"/>
  <c r="DD62" i="1"/>
  <c r="DC62" i="1"/>
  <c r="DB62" i="1"/>
  <c r="DA62" i="1"/>
  <c r="CZ62" i="1"/>
  <c r="CY62" i="1"/>
  <c r="CX62" i="1"/>
  <c r="CX93" i="1" s="1"/>
  <c r="CW62" i="1"/>
  <c r="CV62" i="1"/>
  <c r="CU62" i="1"/>
  <c r="CT62" i="1"/>
  <c r="CS62" i="1"/>
  <c r="CR62" i="1"/>
  <c r="CQ62" i="1"/>
  <c r="CP62" i="1"/>
  <c r="CM62" i="1"/>
  <c r="DH62" i="1" s="1"/>
  <c r="BP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Y62" i="1"/>
  <c r="AV62" i="1"/>
  <c r="AB62" i="1" s="1"/>
  <c r="Z62" i="1"/>
  <c r="G62" i="1"/>
  <c r="DJ62" i="1" s="1"/>
  <c r="DG61" i="1"/>
  <c r="DF61" i="1"/>
  <c r="DD61" i="1"/>
  <c r="DC61" i="1"/>
  <c r="DB61" i="1"/>
  <c r="DA61" i="1"/>
  <c r="CZ61" i="1"/>
  <c r="CY61" i="1"/>
  <c r="CX61" i="1"/>
  <c r="CW61" i="1"/>
  <c r="CV61" i="1"/>
  <c r="CU61" i="1"/>
  <c r="CS61" i="1"/>
  <c r="CR61" i="1"/>
  <c r="CQ61" i="1"/>
  <c r="CP61" i="1"/>
  <c r="CM61" i="1"/>
  <c r="BY61" i="1"/>
  <c r="BP61" i="1"/>
  <c r="BM61" i="1"/>
  <c r="BL61" i="1"/>
  <c r="BK61" i="1"/>
  <c r="BJ61" i="1"/>
  <c r="BI61" i="1"/>
  <c r="BH61" i="1"/>
  <c r="BG61" i="1"/>
  <c r="BF61" i="1"/>
  <c r="BE61" i="1"/>
  <c r="BD61" i="1"/>
  <c r="BB61" i="1"/>
  <c r="BA61" i="1"/>
  <c r="AZ61" i="1"/>
  <c r="AY61" i="1"/>
  <c r="AV61" i="1"/>
  <c r="AH61" i="1"/>
  <c r="Z61" i="1"/>
  <c r="DH61" i="1" s="1"/>
  <c r="L61" i="1"/>
  <c r="CY60" i="1"/>
  <c r="CK60" i="1"/>
  <c r="CI60" i="1"/>
  <c r="CG60" i="1"/>
  <c r="CD60" i="1"/>
  <c r="CC60" i="1"/>
  <c r="CB60" i="1"/>
  <c r="CA60" i="1"/>
  <c r="BZ60" i="1"/>
  <c r="BX60" i="1"/>
  <c r="BW60" i="1"/>
  <c r="BU60" i="1"/>
  <c r="BT60" i="1"/>
  <c r="AT60" i="1"/>
  <c r="AR60" i="1"/>
  <c r="AP60" i="1"/>
  <c r="AM60" i="1"/>
  <c r="AL60" i="1"/>
  <c r="AK60" i="1"/>
  <c r="AJ60" i="1"/>
  <c r="AI60" i="1"/>
  <c r="AG60" i="1"/>
  <c r="AF60" i="1"/>
  <c r="AD60" i="1"/>
  <c r="Y60" i="1"/>
  <c r="X60" i="1"/>
  <c r="V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DG59" i="1"/>
  <c r="DF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CQ59" i="1"/>
  <c r="CP59" i="1"/>
  <c r="CM59" i="1"/>
  <c r="BS59" i="1" s="1"/>
  <c r="BP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V59" i="1"/>
  <c r="Z59" i="1"/>
  <c r="DH58" i="1"/>
  <c r="DG58" i="1"/>
  <c r="DF58" i="1"/>
  <c r="DD58" i="1"/>
  <c r="DB58" i="1"/>
  <c r="DA58" i="1"/>
  <c r="CZ58" i="1"/>
  <c r="CY58" i="1"/>
  <c r="CX58" i="1"/>
  <c r="CW58" i="1"/>
  <c r="CV58" i="1"/>
  <c r="CU58" i="1"/>
  <c r="CS58" i="1"/>
  <c r="CR58" i="1"/>
  <c r="CP58" i="1"/>
  <c r="CH58" i="1"/>
  <c r="DC58" i="1" s="1"/>
  <c r="BY58" i="1"/>
  <c r="BV58" i="1"/>
  <c r="CQ58" i="1" s="1"/>
  <c r="BQ58" i="1"/>
  <c r="BP58" i="1"/>
  <c r="BM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Q58" i="1"/>
  <c r="BL58" i="1" s="1"/>
  <c r="AH58" i="1"/>
  <c r="AH140" i="1" s="1"/>
  <c r="AE58" i="1"/>
  <c r="AB58" i="1"/>
  <c r="L58" i="1"/>
  <c r="DJ57" i="1"/>
  <c r="DH57" i="1"/>
  <c r="DG57" i="1"/>
  <c r="DF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CR57" i="1"/>
  <c r="CQ57" i="1"/>
  <c r="CP57" i="1"/>
  <c r="BS57" i="1"/>
  <c r="BR57" i="1" s="1"/>
  <c r="CN57" i="1" s="1"/>
  <c r="BQ57" i="1"/>
  <c r="BP57" i="1"/>
  <c r="BM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Q57" i="1"/>
  <c r="AB57" i="1" s="1"/>
  <c r="G57" i="1"/>
  <c r="DH56" i="1"/>
  <c r="DG56" i="1"/>
  <c r="DF56" i="1"/>
  <c r="DD56" i="1"/>
  <c r="DB56" i="1"/>
  <c r="DA56" i="1"/>
  <c r="CZ56" i="1"/>
  <c r="CY56" i="1"/>
  <c r="CX56" i="1"/>
  <c r="CW56" i="1"/>
  <c r="CV56" i="1"/>
  <c r="CU56" i="1"/>
  <c r="CT56" i="1"/>
  <c r="CS56" i="1"/>
  <c r="CR56" i="1"/>
  <c r="CP56" i="1"/>
  <c r="CH56" i="1"/>
  <c r="DC56" i="1" s="1"/>
  <c r="BV56" i="1"/>
  <c r="CQ56" i="1" s="1"/>
  <c r="BQ56" i="1"/>
  <c r="BP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Y56" i="1"/>
  <c r="AE56" i="1"/>
  <c r="I56" i="1"/>
  <c r="G56" i="1"/>
  <c r="DJ56" i="1" s="1"/>
  <c r="DH55" i="1"/>
  <c r="DG55" i="1"/>
  <c r="DF55" i="1"/>
  <c r="DD55" i="1"/>
  <c r="DB55" i="1"/>
  <c r="DA55" i="1"/>
  <c r="CZ55" i="1"/>
  <c r="CY55" i="1"/>
  <c r="CX55" i="1"/>
  <c r="CW55" i="1"/>
  <c r="CV55" i="1"/>
  <c r="CU55" i="1"/>
  <c r="CT55" i="1"/>
  <c r="CS55" i="1"/>
  <c r="CR55" i="1"/>
  <c r="CQ55" i="1"/>
  <c r="CP55" i="1"/>
  <c r="CH55" i="1"/>
  <c r="BQ55" i="1"/>
  <c r="BP55" i="1"/>
  <c r="BM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Q55" i="1"/>
  <c r="G55" i="1"/>
  <c r="DJ55" i="1" s="1"/>
  <c r="DG54" i="1"/>
  <c r="DF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CR54" i="1"/>
  <c r="CP54" i="1"/>
  <c r="CM54" i="1"/>
  <c r="BV54" i="1"/>
  <c r="CQ54" i="1" s="1"/>
  <c r="BP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V54" i="1"/>
  <c r="AE54" i="1"/>
  <c r="Z54" i="1"/>
  <c r="DG53" i="1"/>
  <c r="DF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CR53" i="1"/>
  <c r="CQ53" i="1"/>
  <c r="CP53" i="1"/>
  <c r="CM53" i="1"/>
  <c r="DH53" i="1" s="1"/>
  <c r="CO53" i="1" s="1"/>
  <c r="BP53" i="1"/>
  <c r="BM53" i="1"/>
  <c r="BL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V53" i="1"/>
  <c r="BQ53" i="1" s="1"/>
  <c r="Z53" i="1"/>
  <c r="G53" i="1"/>
  <c r="DJ53" i="1" s="1"/>
  <c r="DH52" i="1"/>
  <c r="DG52" i="1"/>
  <c r="DF52" i="1"/>
  <c r="DD52" i="1"/>
  <c r="DB52" i="1"/>
  <c r="DA52" i="1"/>
  <c r="CZ52" i="1"/>
  <c r="CY52" i="1"/>
  <c r="CX52" i="1"/>
  <c r="CW52" i="1"/>
  <c r="CV52" i="1"/>
  <c r="CU52" i="1"/>
  <c r="CT52" i="1"/>
  <c r="CS52" i="1"/>
  <c r="CR52" i="1"/>
  <c r="CP52" i="1"/>
  <c r="CH52" i="1"/>
  <c r="DC52" i="1" s="1"/>
  <c r="BV52" i="1"/>
  <c r="CQ52" i="1" s="1"/>
  <c r="BQ52" i="1"/>
  <c r="BP52" i="1"/>
  <c r="BM52" i="1"/>
  <c r="BK52" i="1"/>
  <c r="BJ52" i="1"/>
  <c r="BI52" i="1"/>
  <c r="BH52" i="1"/>
  <c r="BG52" i="1"/>
  <c r="BF52" i="1"/>
  <c r="BE52" i="1"/>
  <c r="BD52" i="1"/>
  <c r="BC52" i="1"/>
  <c r="BB52" i="1"/>
  <c r="BA52" i="1"/>
  <c r="AY52" i="1"/>
  <c r="AQ52" i="1"/>
  <c r="AE52" i="1"/>
  <c r="AB52" i="1" s="1"/>
  <c r="U52" i="1"/>
  <c r="BL52" i="1" s="1"/>
  <c r="I52" i="1"/>
  <c r="G52" i="1"/>
  <c r="DJ52" i="1" s="1"/>
  <c r="DJ51" i="1"/>
  <c r="DH51" i="1"/>
  <c r="DG51" i="1"/>
  <c r="DF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CP51" i="1"/>
  <c r="BV51" i="1"/>
  <c r="CQ51" i="1" s="1"/>
  <c r="BQ51" i="1"/>
  <c r="BP51" i="1"/>
  <c r="BM51" i="1"/>
  <c r="BL51" i="1"/>
  <c r="BJ51" i="1"/>
  <c r="BI51" i="1"/>
  <c r="BH51" i="1"/>
  <c r="BG51" i="1"/>
  <c r="BF51" i="1"/>
  <c r="BE51" i="1"/>
  <c r="BD51" i="1"/>
  <c r="BC51" i="1"/>
  <c r="BB51" i="1"/>
  <c r="BA51" i="1"/>
  <c r="AY51" i="1"/>
  <c r="AE51" i="1"/>
  <c r="AZ51" i="1" s="1"/>
  <c r="AB51" i="1"/>
  <c r="G51" i="1"/>
  <c r="DJ50" i="1"/>
  <c r="DH50" i="1"/>
  <c r="DF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CR50" i="1"/>
  <c r="CP50" i="1"/>
  <c r="CL50" i="1"/>
  <c r="DG50" i="1" s="1"/>
  <c r="BV50" i="1"/>
  <c r="CQ50" i="1" s="1"/>
  <c r="BQ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Y50" i="1"/>
  <c r="AU50" i="1"/>
  <c r="BP50" i="1" s="1"/>
  <c r="AE50" i="1"/>
  <c r="G50" i="1"/>
  <c r="DJ49" i="1"/>
  <c r="DH49" i="1"/>
  <c r="DG49" i="1"/>
  <c r="DF49" i="1"/>
  <c r="DD49" i="1"/>
  <c r="DB49" i="1"/>
  <c r="DA49" i="1"/>
  <c r="CZ49" i="1"/>
  <c r="CY49" i="1"/>
  <c r="CX49" i="1"/>
  <c r="CW49" i="1"/>
  <c r="CV49" i="1"/>
  <c r="CU49" i="1"/>
  <c r="CT49" i="1"/>
  <c r="CS49" i="1"/>
  <c r="CR49" i="1"/>
  <c r="CQ49" i="1"/>
  <c r="CO49" i="1" s="1"/>
  <c r="CP49" i="1"/>
  <c r="CH49" i="1"/>
  <c r="DC49" i="1" s="1"/>
  <c r="BP49" i="1"/>
  <c r="BM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Q49" i="1"/>
  <c r="Z49" i="1"/>
  <c r="G49" i="1" s="1"/>
  <c r="DJ48" i="1"/>
  <c r="DH48" i="1"/>
  <c r="DG48" i="1"/>
  <c r="DF48" i="1"/>
  <c r="DD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H48" i="1"/>
  <c r="BQ48" i="1"/>
  <c r="BP48" i="1"/>
  <c r="BM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Q48" i="1"/>
  <c r="G48" i="1"/>
  <c r="DH47" i="1"/>
  <c r="DG47" i="1"/>
  <c r="DF47" i="1"/>
  <c r="DD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H47" i="1"/>
  <c r="BQ47" i="1"/>
  <c r="BP47" i="1"/>
  <c r="BM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Q47" i="1"/>
  <c r="BL47" i="1" s="1"/>
  <c r="G47" i="1"/>
  <c r="DJ47" i="1" s="1"/>
  <c r="DJ46" i="1"/>
  <c r="DH46" i="1"/>
  <c r="DG46" i="1"/>
  <c r="DF46" i="1"/>
  <c r="DD46" i="1"/>
  <c r="DB46" i="1"/>
  <c r="DA46" i="1"/>
  <c r="CZ46" i="1"/>
  <c r="CY46" i="1"/>
  <c r="CX46" i="1"/>
  <c r="CW46" i="1"/>
  <c r="CV46" i="1"/>
  <c r="CU46" i="1"/>
  <c r="CT46" i="1"/>
  <c r="CS46" i="1"/>
  <c r="CR46" i="1"/>
  <c r="CQ46" i="1"/>
  <c r="CP46" i="1"/>
  <c r="CH46" i="1"/>
  <c r="DC46" i="1" s="1"/>
  <c r="BQ46" i="1"/>
  <c r="BP46" i="1"/>
  <c r="BO46" i="1"/>
  <c r="BM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Q46" i="1"/>
  <c r="AB46" i="1" s="1"/>
  <c r="G46" i="1"/>
  <c r="DH45" i="1"/>
  <c r="DG45" i="1"/>
  <c r="DF45" i="1"/>
  <c r="DD45" i="1"/>
  <c r="DB45" i="1"/>
  <c r="DA45" i="1"/>
  <c r="CZ45" i="1"/>
  <c r="CY45" i="1"/>
  <c r="CX45" i="1"/>
  <c r="CW45" i="1"/>
  <c r="CV45" i="1"/>
  <c r="CU45" i="1"/>
  <c r="CT45" i="1"/>
  <c r="CS45" i="1"/>
  <c r="CR45" i="1"/>
  <c r="CQ45" i="1"/>
  <c r="CP45" i="1"/>
  <c r="CH45" i="1"/>
  <c r="DC45" i="1" s="1"/>
  <c r="BS45" i="1"/>
  <c r="BQ45" i="1"/>
  <c r="BP45" i="1"/>
  <c r="BM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Q45" i="1"/>
  <c r="AB45" i="1" s="1"/>
  <c r="U45" i="1"/>
  <c r="DH44" i="1"/>
  <c r="DG44" i="1"/>
  <c r="DF44" i="1"/>
  <c r="DD44" i="1"/>
  <c r="DB44" i="1"/>
  <c r="DA44" i="1"/>
  <c r="CZ44" i="1"/>
  <c r="CY44" i="1"/>
  <c r="CX44" i="1"/>
  <c r="CW44" i="1"/>
  <c r="CV44" i="1"/>
  <c r="CU44" i="1"/>
  <c r="CT44" i="1"/>
  <c r="CS44" i="1"/>
  <c r="CR44" i="1"/>
  <c r="CQ44" i="1"/>
  <c r="CP44" i="1"/>
  <c r="CH44" i="1"/>
  <c r="BS44" i="1" s="1"/>
  <c r="BQ44" i="1"/>
  <c r="BP44" i="1"/>
  <c r="BO44" i="1"/>
  <c r="BM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Q44" i="1"/>
  <c r="AB44" i="1" s="1"/>
  <c r="U44" i="1"/>
  <c r="DH43" i="1"/>
  <c r="DG43" i="1"/>
  <c r="DF43" i="1"/>
  <c r="DD43" i="1"/>
  <c r="DC43" i="1"/>
  <c r="DB43" i="1"/>
  <c r="DA43" i="1"/>
  <c r="CY43" i="1"/>
  <c r="CX43" i="1"/>
  <c r="CW43" i="1"/>
  <c r="CV43" i="1"/>
  <c r="CU43" i="1"/>
  <c r="CT43" i="1"/>
  <c r="CS43" i="1"/>
  <c r="CR43" i="1"/>
  <c r="CQ43" i="1"/>
  <c r="CP43" i="1"/>
  <c r="CE43" i="1"/>
  <c r="BS43" i="1" s="1"/>
  <c r="BQ43" i="1"/>
  <c r="BP43" i="1"/>
  <c r="BO43" i="1"/>
  <c r="BO60" i="1" s="1"/>
  <c r="BM43" i="1"/>
  <c r="BL43" i="1"/>
  <c r="BK43" i="1"/>
  <c r="BJ43" i="1"/>
  <c r="BH43" i="1"/>
  <c r="BG43" i="1"/>
  <c r="BF43" i="1"/>
  <c r="BE43" i="1"/>
  <c r="BD43" i="1"/>
  <c r="BC43" i="1"/>
  <c r="BB43" i="1"/>
  <c r="BA43" i="1"/>
  <c r="AZ43" i="1"/>
  <c r="AY43" i="1"/>
  <c r="AN43" i="1"/>
  <c r="AB43" i="1" s="1"/>
  <c r="R43" i="1"/>
  <c r="R140" i="1" s="1"/>
  <c r="DH42" i="1"/>
  <c r="DG42" i="1"/>
  <c r="DF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CR42" i="1"/>
  <c r="CQ42" i="1"/>
  <c r="CP42" i="1"/>
  <c r="CO42" i="1"/>
  <c r="DL42" i="1" s="1"/>
  <c r="BS42" i="1"/>
  <c r="BQ42" i="1"/>
  <c r="BP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DK42" i="1" s="1"/>
  <c r="AB42" i="1"/>
  <c r="Z42" i="1"/>
  <c r="G42" i="1" s="1"/>
  <c r="BR42" i="1" s="1"/>
  <c r="CN42" i="1" s="1"/>
  <c r="DH41" i="1"/>
  <c r="DF41" i="1"/>
  <c r="DD41" i="1"/>
  <c r="DC41" i="1"/>
  <c r="DB41" i="1"/>
  <c r="CZ41" i="1"/>
  <c r="CY41" i="1"/>
  <c r="CX41" i="1"/>
  <c r="CW41" i="1"/>
  <c r="CV41" i="1"/>
  <c r="CU41" i="1"/>
  <c r="CT41" i="1"/>
  <c r="CS41" i="1"/>
  <c r="CR41" i="1"/>
  <c r="CQ41" i="1"/>
  <c r="CP41" i="1"/>
  <c r="CL41" i="1"/>
  <c r="CF41" i="1"/>
  <c r="DA41" i="1" s="1"/>
  <c r="BQ41" i="1"/>
  <c r="BM41" i="1"/>
  <c r="BL41" i="1"/>
  <c r="BK41" i="1"/>
  <c r="BI41" i="1"/>
  <c r="BH41" i="1"/>
  <c r="BG41" i="1"/>
  <c r="BF41" i="1"/>
  <c r="BE41" i="1"/>
  <c r="BD41" i="1"/>
  <c r="BC41" i="1"/>
  <c r="BB41" i="1"/>
  <c r="BA41" i="1"/>
  <c r="AZ41" i="1"/>
  <c r="AY41" i="1"/>
  <c r="AU41" i="1"/>
  <c r="AO41" i="1"/>
  <c r="BJ41" i="1" s="1"/>
  <c r="Y41" i="1"/>
  <c r="G41" i="1" s="1"/>
  <c r="DG40" i="1"/>
  <c r="DF40" i="1"/>
  <c r="DD40" i="1"/>
  <c r="DB40" i="1"/>
  <c r="CZ40" i="1"/>
  <c r="CY40" i="1"/>
  <c r="CX40" i="1"/>
  <c r="CW40" i="1"/>
  <c r="CV40" i="1"/>
  <c r="CU40" i="1"/>
  <c r="CT40" i="1"/>
  <c r="CS40" i="1"/>
  <c r="CR40" i="1"/>
  <c r="CQ40" i="1"/>
  <c r="CP40" i="1"/>
  <c r="CM40" i="1"/>
  <c r="CH40" i="1"/>
  <c r="DC40" i="1" s="1"/>
  <c r="CF40" i="1"/>
  <c r="BP40" i="1"/>
  <c r="BM40" i="1"/>
  <c r="BK40" i="1"/>
  <c r="BI40" i="1"/>
  <c r="BH40" i="1"/>
  <c r="BG40" i="1"/>
  <c r="BF40" i="1"/>
  <c r="BE40" i="1"/>
  <c r="BD40" i="1"/>
  <c r="BC40" i="1"/>
  <c r="BB40" i="1"/>
  <c r="BA40" i="1"/>
  <c r="AZ40" i="1"/>
  <c r="AY40" i="1"/>
  <c r="AV40" i="1"/>
  <c r="AQ40" i="1"/>
  <c r="BL40" i="1" s="1"/>
  <c r="AO40" i="1"/>
  <c r="Z40" i="1"/>
  <c r="G40" i="1"/>
  <c r="DJ40" i="1" s="1"/>
  <c r="DH39" i="1"/>
  <c r="DG39" i="1"/>
  <c r="DF39" i="1"/>
  <c r="DD39" i="1"/>
  <c r="DC39" i="1"/>
  <c r="DB39" i="1"/>
  <c r="CZ39" i="1"/>
  <c r="CY39" i="1"/>
  <c r="CX39" i="1"/>
  <c r="CW39" i="1"/>
  <c r="CV39" i="1"/>
  <c r="CU39" i="1"/>
  <c r="CT39" i="1"/>
  <c r="CS39" i="1"/>
  <c r="CR39" i="1"/>
  <c r="CQ39" i="1"/>
  <c r="CP39" i="1"/>
  <c r="CF39" i="1"/>
  <c r="BS39" i="1" s="1"/>
  <c r="BQ39" i="1"/>
  <c r="BP39" i="1"/>
  <c r="BM39" i="1"/>
  <c r="BL39" i="1"/>
  <c r="BK39" i="1"/>
  <c r="BI39" i="1"/>
  <c r="BH39" i="1"/>
  <c r="BG39" i="1"/>
  <c r="BF39" i="1"/>
  <c r="BE39" i="1"/>
  <c r="BD39" i="1"/>
  <c r="BC39" i="1"/>
  <c r="BB39" i="1"/>
  <c r="BA39" i="1"/>
  <c r="AZ39" i="1"/>
  <c r="AY39" i="1"/>
  <c r="AO39" i="1"/>
  <c r="AB39" i="1" s="1"/>
  <c r="G39" i="1"/>
  <c r="DJ39" i="1" s="1"/>
  <c r="DJ38" i="1"/>
  <c r="DH38" i="1"/>
  <c r="DG38" i="1"/>
  <c r="DF38" i="1"/>
  <c r="DD38" i="1"/>
  <c r="DB38" i="1"/>
  <c r="DA38" i="1"/>
  <c r="CZ38" i="1"/>
  <c r="CY38" i="1"/>
  <c r="CX38" i="1"/>
  <c r="CW38" i="1"/>
  <c r="CV38" i="1"/>
  <c r="CU38" i="1"/>
  <c r="CT38" i="1"/>
  <c r="CS38" i="1"/>
  <c r="CR38" i="1"/>
  <c r="CQ38" i="1"/>
  <c r="CP38" i="1"/>
  <c r="CH38" i="1"/>
  <c r="DC38" i="1" s="1"/>
  <c r="BQ38" i="1"/>
  <c r="BP38" i="1"/>
  <c r="BO38" i="1"/>
  <c r="BM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Q38" i="1"/>
  <c r="AB38" i="1" s="1"/>
  <c r="G38" i="1"/>
  <c r="DH37" i="1"/>
  <c r="DG37" i="1"/>
  <c r="DF37" i="1"/>
  <c r="DD37" i="1"/>
  <c r="DB37" i="1"/>
  <c r="DA37" i="1"/>
  <c r="CZ37" i="1"/>
  <c r="CY37" i="1"/>
  <c r="CX37" i="1"/>
  <c r="CW37" i="1"/>
  <c r="CV37" i="1"/>
  <c r="CU37" i="1"/>
  <c r="CT37" i="1"/>
  <c r="CS37" i="1"/>
  <c r="CR37" i="1"/>
  <c r="CQ37" i="1"/>
  <c r="CP37" i="1"/>
  <c r="CH37" i="1"/>
  <c r="BS37" i="1"/>
  <c r="BQ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Q37" i="1"/>
  <c r="AB37" i="1" s="1"/>
  <c r="U37" i="1"/>
  <c r="G37" i="1"/>
  <c r="DJ37" i="1" s="1"/>
  <c r="DJ36" i="1"/>
  <c r="DH36" i="1"/>
  <c r="DG36" i="1"/>
  <c r="DF36" i="1"/>
  <c r="DD36" i="1"/>
  <c r="DB36" i="1"/>
  <c r="DA36" i="1"/>
  <c r="CZ36" i="1"/>
  <c r="CY36" i="1"/>
  <c r="CX36" i="1"/>
  <c r="CW36" i="1"/>
  <c r="CV36" i="1"/>
  <c r="CU36" i="1"/>
  <c r="CT36" i="1"/>
  <c r="CS36" i="1"/>
  <c r="CR36" i="1"/>
  <c r="CQ36" i="1"/>
  <c r="CP36" i="1"/>
  <c r="CM36" i="1"/>
  <c r="CH36" i="1"/>
  <c r="BM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V36" i="1"/>
  <c r="AQ36" i="1"/>
  <c r="BL36" i="1" s="1"/>
  <c r="G36" i="1"/>
  <c r="DJ35" i="1"/>
  <c r="DH35" i="1"/>
  <c r="DG35" i="1"/>
  <c r="DF35" i="1"/>
  <c r="DD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H35" i="1"/>
  <c r="DC35" i="1" s="1"/>
  <c r="BS35" i="1"/>
  <c r="BR35" i="1" s="1"/>
  <c r="CN35" i="1" s="1"/>
  <c r="BQ35" i="1"/>
  <c r="BM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Q35" i="1"/>
  <c r="G35" i="1"/>
  <c r="DJ34" i="1"/>
  <c r="DH34" i="1"/>
  <c r="DG34" i="1"/>
  <c r="DF34" i="1"/>
  <c r="DD34" i="1"/>
  <c r="DB34" i="1"/>
  <c r="DA34" i="1"/>
  <c r="CZ34" i="1"/>
  <c r="CY34" i="1"/>
  <c r="CX34" i="1"/>
  <c r="CW34" i="1"/>
  <c r="CV34" i="1"/>
  <c r="CU34" i="1"/>
  <c r="CT34" i="1"/>
  <c r="CS34" i="1"/>
  <c r="CR34" i="1"/>
  <c r="CQ34" i="1"/>
  <c r="CP34" i="1"/>
  <c r="CJ34" i="1"/>
  <c r="CH34" i="1"/>
  <c r="DC34" i="1" s="1"/>
  <c r="BQ34" i="1"/>
  <c r="BM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S34" i="1"/>
  <c r="BN34" i="1" s="1"/>
  <c r="BN140" i="1" s="1"/>
  <c r="AQ34" i="1"/>
  <c r="BL34" i="1" s="1"/>
  <c r="W34" i="1"/>
  <c r="G34" i="1"/>
  <c r="DG33" i="1"/>
  <c r="DF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CR33" i="1"/>
  <c r="CQ33" i="1"/>
  <c r="CP33" i="1"/>
  <c r="CM33" i="1"/>
  <c r="BS33" i="1" s="1"/>
  <c r="BM33" i="1"/>
  <c r="BL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V33" i="1"/>
  <c r="AB33" i="1"/>
  <c r="Z33" i="1"/>
  <c r="BQ33" i="1" s="1"/>
  <c r="G33" i="1"/>
  <c r="DJ33" i="1" s="1"/>
  <c r="DG32" i="1"/>
  <c r="DF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CR32" i="1"/>
  <c r="CQ32" i="1"/>
  <c r="CP32" i="1"/>
  <c r="CM32" i="1"/>
  <c r="BS32" i="1" s="1"/>
  <c r="BQ32" i="1"/>
  <c r="BM32" i="1"/>
  <c r="BL32" i="1"/>
  <c r="BJ32" i="1"/>
  <c r="BI32" i="1"/>
  <c r="BH32" i="1"/>
  <c r="BG32" i="1"/>
  <c r="BF32" i="1"/>
  <c r="BE32" i="1"/>
  <c r="AX32" i="1" s="1"/>
  <c r="BD32" i="1"/>
  <c r="BC32" i="1"/>
  <c r="BB32" i="1"/>
  <c r="BA32" i="1"/>
  <c r="AZ32" i="1"/>
  <c r="AY32" i="1"/>
  <c r="AV32" i="1"/>
  <c r="AB32" i="1"/>
  <c r="Z32" i="1"/>
  <c r="G32" i="1" s="1"/>
  <c r="DH31" i="1"/>
  <c r="DG31" i="1"/>
  <c r="DF31" i="1"/>
  <c r="DD31" i="1"/>
  <c r="DB31" i="1"/>
  <c r="DA31" i="1"/>
  <c r="CZ31" i="1"/>
  <c r="CY31" i="1"/>
  <c r="CX31" i="1"/>
  <c r="CW31" i="1"/>
  <c r="CV31" i="1"/>
  <c r="CU31" i="1"/>
  <c r="CT31" i="1"/>
  <c r="CS31" i="1"/>
  <c r="CR31" i="1"/>
  <c r="CQ31" i="1"/>
  <c r="CP31" i="1"/>
  <c r="CH31" i="1"/>
  <c r="BS31" i="1" s="1"/>
  <c r="BQ31" i="1"/>
  <c r="BM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Q31" i="1"/>
  <c r="AB31" i="1"/>
  <c r="U31" i="1"/>
  <c r="DH30" i="1"/>
  <c r="DG30" i="1"/>
  <c r="DF30" i="1"/>
  <c r="DD30" i="1"/>
  <c r="DB30" i="1"/>
  <c r="DA30" i="1"/>
  <c r="CY30" i="1"/>
  <c r="CX30" i="1"/>
  <c r="CW30" i="1"/>
  <c r="CV30" i="1"/>
  <c r="CU30" i="1"/>
  <c r="CT30" i="1"/>
  <c r="CS30" i="1"/>
  <c r="CR30" i="1"/>
  <c r="CQ30" i="1"/>
  <c r="CP30" i="1"/>
  <c r="CH30" i="1"/>
  <c r="DC30" i="1" s="1"/>
  <c r="CE30" i="1"/>
  <c r="BQ30" i="1"/>
  <c r="BM30" i="1"/>
  <c r="BK30" i="1"/>
  <c r="BJ30" i="1"/>
  <c r="BH30" i="1"/>
  <c r="BG30" i="1"/>
  <c r="BF30" i="1"/>
  <c r="BE30" i="1"/>
  <c r="BD30" i="1"/>
  <c r="BC30" i="1"/>
  <c r="BB30" i="1"/>
  <c r="BA30" i="1"/>
  <c r="AZ30" i="1"/>
  <c r="AY30" i="1"/>
  <c r="AQ30" i="1"/>
  <c r="BL30" i="1" s="1"/>
  <c r="AN30" i="1"/>
  <c r="G30" i="1"/>
  <c r="DJ30" i="1" s="1"/>
  <c r="DH29" i="1"/>
  <c r="DG29" i="1"/>
  <c r="DF29" i="1"/>
  <c r="DD29" i="1"/>
  <c r="DB29" i="1"/>
  <c r="DA29" i="1"/>
  <c r="CZ29" i="1"/>
  <c r="CY29" i="1"/>
  <c r="CX29" i="1"/>
  <c r="CW29" i="1"/>
  <c r="CV29" i="1"/>
  <c r="CU29" i="1"/>
  <c r="CT29" i="1"/>
  <c r="CS29" i="1"/>
  <c r="CR29" i="1"/>
  <c r="CQ29" i="1"/>
  <c r="CP29" i="1"/>
  <c r="CH29" i="1"/>
  <c r="BS29" i="1" s="1"/>
  <c r="BQ29" i="1"/>
  <c r="BM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Q29" i="1"/>
  <c r="AB29" i="1" s="1"/>
  <c r="U29" i="1"/>
  <c r="G29" i="1" s="1"/>
  <c r="DJ29" i="1" s="1"/>
  <c r="DH28" i="1"/>
  <c r="DG28" i="1"/>
  <c r="DF28" i="1"/>
  <c r="DD28" i="1"/>
  <c r="DB28" i="1"/>
  <c r="DA28" i="1"/>
  <c r="CZ28" i="1"/>
  <c r="CY28" i="1"/>
  <c r="CX28" i="1"/>
  <c r="CW28" i="1"/>
  <c r="CV28" i="1"/>
  <c r="CU28" i="1"/>
  <c r="CT28" i="1"/>
  <c r="CS28" i="1"/>
  <c r="CR28" i="1"/>
  <c r="CQ28" i="1"/>
  <c r="CP28" i="1"/>
  <c r="BS28" i="1"/>
  <c r="BQ28" i="1"/>
  <c r="BM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B28" i="1"/>
  <c r="U28" i="1"/>
  <c r="BL28" i="1" s="1"/>
  <c r="DH27" i="1"/>
  <c r="DG27" i="1"/>
  <c r="DF27" i="1"/>
  <c r="DD27" i="1"/>
  <c r="DB27" i="1"/>
  <c r="DA27" i="1"/>
  <c r="CZ27" i="1"/>
  <c r="CY27" i="1"/>
  <c r="CX27" i="1"/>
  <c r="CW27" i="1"/>
  <c r="CV27" i="1"/>
  <c r="CU27" i="1"/>
  <c r="CT27" i="1"/>
  <c r="CS27" i="1"/>
  <c r="CR27" i="1"/>
  <c r="CQ27" i="1"/>
  <c r="CP27" i="1"/>
  <c r="CH27" i="1"/>
  <c r="BS27" i="1" s="1"/>
  <c r="BQ27" i="1"/>
  <c r="BM27" i="1"/>
  <c r="BK27" i="1"/>
  <c r="BJ27" i="1"/>
  <c r="BI27" i="1"/>
  <c r="BH27" i="1"/>
  <c r="BG27" i="1"/>
  <c r="BF27" i="1"/>
  <c r="BE27" i="1"/>
  <c r="BE60" i="1" s="1"/>
  <c r="BD27" i="1"/>
  <c r="BC27" i="1"/>
  <c r="BB27" i="1"/>
  <c r="BA27" i="1"/>
  <c r="AZ27" i="1"/>
  <c r="AY27" i="1"/>
  <c r="AQ27" i="1"/>
  <c r="AB27" i="1" s="1"/>
  <c r="U27" i="1"/>
  <c r="DJ26" i="1"/>
  <c r="DH26" i="1"/>
  <c r="DG26" i="1"/>
  <c r="DF26" i="1"/>
  <c r="DD26" i="1"/>
  <c r="DB26" i="1"/>
  <c r="DA26" i="1"/>
  <c r="CZ26" i="1"/>
  <c r="CY26" i="1"/>
  <c r="CX26" i="1"/>
  <c r="CW26" i="1"/>
  <c r="CV26" i="1"/>
  <c r="CU26" i="1"/>
  <c r="CT26" i="1"/>
  <c r="CS26" i="1"/>
  <c r="CR26" i="1"/>
  <c r="CQ26" i="1"/>
  <c r="CP26" i="1"/>
  <c r="CH26" i="1"/>
  <c r="BS26" i="1" s="1"/>
  <c r="BR26" i="1" s="1"/>
  <c r="CN26" i="1" s="1"/>
  <c r="BQ26" i="1"/>
  <c r="BM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Q26" i="1"/>
  <c r="AB26" i="1" s="1"/>
  <c r="AA26" i="1" s="1"/>
  <c r="AW26" i="1" s="1"/>
  <c r="G26" i="1"/>
  <c r="DJ25" i="1"/>
  <c r="BV25" i="1"/>
  <c r="BS25" i="1" s="1"/>
  <c r="AE25" i="1"/>
  <c r="AZ25" i="1" s="1"/>
  <c r="AX25" i="1" s="1"/>
  <c r="I25" i="1"/>
  <c r="G25" i="1"/>
  <c r="DJ24" i="1"/>
  <c r="BV24" i="1"/>
  <c r="CQ24" i="1" s="1"/>
  <c r="CO24" i="1" s="1"/>
  <c r="AE24" i="1"/>
  <c r="G24" i="1"/>
  <c r="DG23" i="1"/>
  <c r="DF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CR23" i="1"/>
  <c r="CP23" i="1"/>
  <c r="CP60" i="1" s="1"/>
  <c r="CM23" i="1"/>
  <c r="BV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Y23" i="1"/>
  <c r="AV23" i="1"/>
  <c r="AE23" i="1"/>
  <c r="AZ23" i="1" s="1"/>
  <c r="I23" i="1"/>
  <c r="G23" i="1"/>
  <c r="DJ23" i="1" s="1"/>
  <c r="DH22" i="1"/>
  <c r="DG22" i="1"/>
  <c r="DF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P22" i="1"/>
  <c r="BV22" i="1"/>
  <c r="BQ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Y22" i="1"/>
  <c r="AE22" i="1"/>
  <c r="AZ22" i="1" s="1"/>
  <c r="AB22" i="1"/>
  <c r="AA22" i="1" s="1"/>
  <c r="AW22" i="1" s="1"/>
  <c r="G22" i="1"/>
  <c r="DJ22" i="1" s="1"/>
  <c r="DH21" i="1"/>
  <c r="DG21" i="1"/>
  <c r="DF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CR21" i="1"/>
  <c r="CP21" i="1"/>
  <c r="BV21" i="1"/>
  <c r="BQ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Y21" i="1"/>
  <c r="AE21" i="1"/>
  <c r="G21" i="1"/>
  <c r="DE20" i="1"/>
  <c r="CL20" i="1"/>
  <c r="CK20" i="1"/>
  <c r="CI20" i="1"/>
  <c r="CH20" i="1"/>
  <c r="CE20" i="1"/>
  <c r="CD20" i="1"/>
  <c r="CC20" i="1"/>
  <c r="CB20" i="1"/>
  <c r="CB135" i="1" s="1"/>
  <c r="CB147" i="1" s="1"/>
  <c r="CA20" i="1"/>
  <c r="CA135" i="1" s="1"/>
  <c r="CA147" i="1" s="1"/>
  <c r="BZ20" i="1"/>
  <c r="BZ135" i="1" s="1"/>
  <c r="BZ147" i="1" s="1"/>
  <c r="BW20" i="1"/>
  <c r="BU20" i="1"/>
  <c r="BT20" i="1"/>
  <c r="BT135" i="1" s="1"/>
  <c r="BH20" i="1"/>
  <c r="AU20" i="1"/>
  <c r="AT20" i="1"/>
  <c r="AS20" i="1"/>
  <c r="AR20" i="1"/>
  <c r="AQ20" i="1"/>
  <c r="AN20" i="1"/>
  <c r="AM20" i="1"/>
  <c r="AL20" i="1"/>
  <c r="AK20" i="1"/>
  <c r="AJ20" i="1"/>
  <c r="AJ135" i="1" s="1"/>
  <c r="AI20" i="1"/>
  <c r="AI135" i="1" s="1"/>
  <c r="AF20" i="1"/>
  <c r="AD20" i="1"/>
  <c r="Y20" i="1"/>
  <c r="X20" i="1"/>
  <c r="X135" i="1" s="1"/>
  <c r="X147" i="1" s="1"/>
  <c r="V20" i="1"/>
  <c r="U20" i="1"/>
  <c r="T20" i="1"/>
  <c r="T135" i="1" s="1"/>
  <c r="T147" i="1" s="1"/>
  <c r="S20" i="1"/>
  <c r="R20" i="1"/>
  <c r="Q20" i="1"/>
  <c r="P20" i="1"/>
  <c r="O20" i="1"/>
  <c r="N20" i="1"/>
  <c r="M20" i="1"/>
  <c r="L20" i="1"/>
  <c r="J20" i="1"/>
  <c r="H20" i="1"/>
  <c r="DG19" i="1"/>
  <c r="DF19" i="1"/>
  <c r="DD19" i="1"/>
  <c r="DC19" i="1"/>
  <c r="DB19" i="1"/>
  <c r="DA19" i="1"/>
  <c r="CZ19" i="1"/>
  <c r="CY19" i="1"/>
  <c r="CX19" i="1"/>
  <c r="CW19" i="1"/>
  <c r="CV19" i="1"/>
  <c r="CU19" i="1"/>
  <c r="CT19" i="1"/>
  <c r="CR19" i="1"/>
  <c r="CQ19" i="1"/>
  <c r="CP19" i="1"/>
  <c r="CM19" i="1"/>
  <c r="DH19" i="1" s="1"/>
  <c r="BX19" i="1"/>
  <c r="BP19" i="1"/>
  <c r="BM19" i="1"/>
  <c r="BL19" i="1"/>
  <c r="BK19" i="1"/>
  <c r="BJ19" i="1"/>
  <c r="BI19" i="1"/>
  <c r="BH19" i="1"/>
  <c r="BG19" i="1"/>
  <c r="BF19" i="1"/>
  <c r="BE19" i="1"/>
  <c r="BD19" i="1"/>
  <c r="BC19" i="1"/>
  <c r="BA19" i="1"/>
  <c r="AZ19" i="1"/>
  <c r="AY19" i="1"/>
  <c r="AV19" i="1"/>
  <c r="AG19" i="1"/>
  <c r="Z19" i="1"/>
  <c r="K19" i="1"/>
  <c r="G19" i="1"/>
  <c r="DJ19" i="1" s="1"/>
  <c r="DH18" i="1"/>
  <c r="DG18" i="1"/>
  <c r="DF18" i="1"/>
  <c r="DD18" i="1"/>
  <c r="DC18" i="1"/>
  <c r="DB18" i="1"/>
  <c r="DA18" i="1"/>
  <c r="CZ18" i="1"/>
  <c r="CY18" i="1"/>
  <c r="CX18" i="1"/>
  <c r="CW18" i="1"/>
  <c r="CV18" i="1"/>
  <c r="CU18" i="1"/>
  <c r="CT18" i="1"/>
  <c r="CR18" i="1"/>
  <c r="CQ18" i="1"/>
  <c r="CP18" i="1"/>
  <c r="BX18" i="1"/>
  <c r="BS18" i="1" s="1"/>
  <c r="BR18" i="1" s="1"/>
  <c r="CN18" i="1" s="1"/>
  <c r="BQ18" i="1"/>
  <c r="BP18" i="1"/>
  <c r="BM18" i="1"/>
  <c r="BL18" i="1"/>
  <c r="BK18" i="1"/>
  <c r="BJ18" i="1"/>
  <c r="BI18" i="1"/>
  <c r="BH18" i="1"/>
  <c r="BG18" i="1"/>
  <c r="BF18" i="1"/>
  <c r="BE18" i="1"/>
  <c r="BD18" i="1"/>
  <c r="BC18" i="1"/>
  <c r="BA18" i="1"/>
  <c r="AZ18" i="1"/>
  <c r="AY18" i="1"/>
  <c r="AG18" i="1"/>
  <c r="AB18" i="1" s="1"/>
  <c r="K18" i="1"/>
  <c r="G18" i="1"/>
  <c r="DH17" i="1"/>
  <c r="DG17" i="1"/>
  <c r="DF17" i="1"/>
  <c r="DD17" i="1"/>
  <c r="DC17" i="1"/>
  <c r="DB17" i="1"/>
  <c r="DA17" i="1"/>
  <c r="CZ17" i="1"/>
  <c r="CY17" i="1"/>
  <c r="CX17" i="1"/>
  <c r="CW17" i="1"/>
  <c r="CV17" i="1"/>
  <c r="CU17" i="1"/>
  <c r="CT17" i="1"/>
  <c r="CR17" i="1"/>
  <c r="CQ17" i="1"/>
  <c r="CP17" i="1"/>
  <c r="BX17" i="1"/>
  <c r="BS17" i="1" s="1"/>
  <c r="BR17" i="1" s="1"/>
  <c r="CN17" i="1" s="1"/>
  <c r="BQ17" i="1"/>
  <c r="BP17" i="1"/>
  <c r="BO17" i="1"/>
  <c r="BM17" i="1"/>
  <c r="BL17" i="1"/>
  <c r="BK17" i="1"/>
  <c r="BJ17" i="1"/>
  <c r="BI17" i="1"/>
  <c r="BH17" i="1"/>
  <c r="BG17" i="1"/>
  <c r="BF17" i="1"/>
  <c r="BE17" i="1"/>
  <c r="BD17" i="1"/>
  <c r="BC17" i="1"/>
  <c r="BA17" i="1"/>
  <c r="AZ17" i="1"/>
  <c r="AY17" i="1"/>
  <c r="AG17" i="1"/>
  <c r="AB17" i="1" s="1"/>
  <c r="K17" i="1"/>
  <c r="G17" i="1"/>
  <c r="DJ17" i="1" s="1"/>
  <c r="DK16" i="1"/>
  <c r="DH16" i="1"/>
  <c r="DG16" i="1"/>
  <c r="DF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CR16" i="1"/>
  <c r="CQ16" i="1"/>
  <c r="CP16" i="1"/>
  <c r="BS16" i="1"/>
  <c r="BQ16" i="1"/>
  <c r="BP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B16" i="1"/>
  <c r="Z16" i="1"/>
  <c r="G16" i="1" s="1"/>
  <c r="DJ15" i="1"/>
  <c r="DH15" i="1"/>
  <c r="DG15" i="1"/>
  <c r="DF15" i="1"/>
  <c r="DD15" i="1"/>
  <c r="DC15" i="1"/>
  <c r="DB15" i="1"/>
  <c r="CZ15" i="1"/>
  <c r="CY15" i="1"/>
  <c r="CX15" i="1"/>
  <c r="CW15" i="1"/>
  <c r="CV15" i="1"/>
  <c r="CU15" i="1"/>
  <c r="CT15" i="1"/>
  <c r="CR15" i="1"/>
  <c r="CQ15" i="1"/>
  <c r="CP15" i="1"/>
  <c r="CF15" i="1"/>
  <c r="DA15" i="1" s="1"/>
  <c r="BX15" i="1"/>
  <c r="BS15" i="1" s="1"/>
  <c r="BR15" i="1" s="1"/>
  <c r="CN15" i="1" s="1"/>
  <c r="BQ15" i="1"/>
  <c r="BP15" i="1"/>
  <c r="BM15" i="1"/>
  <c r="BL15" i="1"/>
  <c r="BK15" i="1"/>
  <c r="BI15" i="1"/>
  <c r="BH15" i="1"/>
  <c r="BG15" i="1"/>
  <c r="BF15" i="1"/>
  <c r="BE15" i="1"/>
  <c r="BD15" i="1"/>
  <c r="BC15" i="1"/>
  <c r="BA15" i="1"/>
  <c r="AZ15" i="1"/>
  <c r="AY15" i="1"/>
  <c r="AY20" i="1" s="1"/>
  <c r="AO15" i="1"/>
  <c r="AG15" i="1"/>
  <c r="AB15" i="1" s="1"/>
  <c r="G15" i="1"/>
  <c r="DH14" i="1"/>
  <c r="DG14" i="1"/>
  <c r="DF14" i="1"/>
  <c r="DD14" i="1"/>
  <c r="DC14" i="1"/>
  <c r="DB14" i="1"/>
  <c r="DA14" i="1"/>
  <c r="CZ14" i="1"/>
  <c r="CY14" i="1"/>
  <c r="CX14" i="1"/>
  <c r="CW14" i="1"/>
  <c r="CV14" i="1"/>
  <c r="CU14" i="1"/>
  <c r="CT14" i="1"/>
  <c r="CR14" i="1"/>
  <c r="CQ14" i="1"/>
  <c r="CP14" i="1"/>
  <c r="BX14" i="1"/>
  <c r="BS14" i="1"/>
  <c r="BQ14" i="1"/>
  <c r="BP14" i="1"/>
  <c r="BO14" i="1"/>
  <c r="BM14" i="1"/>
  <c r="BL14" i="1"/>
  <c r="BK14" i="1"/>
  <c r="BJ14" i="1"/>
  <c r="BI14" i="1"/>
  <c r="BH14" i="1"/>
  <c r="BG14" i="1"/>
  <c r="BF14" i="1"/>
  <c r="BE14" i="1"/>
  <c r="BD14" i="1"/>
  <c r="BC14" i="1"/>
  <c r="BA14" i="1"/>
  <c r="AZ14" i="1"/>
  <c r="AY14" i="1"/>
  <c r="AG14" i="1"/>
  <c r="AB14" i="1" s="1"/>
  <c r="AA14" i="1" s="1"/>
  <c r="AW14" i="1" s="1"/>
  <c r="K14" i="1"/>
  <c r="G14" i="1" s="1"/>
  <c r="DJ14" i="1" s="1"/>
  <c r="DJ13" i="1"/>
  <c r="DF13" i="1"/>
  <c r="DD13" i="1"/>
  <c r="DC13" i="1"/>
  <c r="DA13" i="1"/>
  <c r="CZ13" i="1"/>
  <c r="CY13" i="1"/>
  <c r="CX13" i="1"/>
  <c r="CW13" i="1"/>
  <c r="CV13" i="1"/>
  <c r="CU13" i="1"/>
  <c r="CR13" i="1"/>
  <c r="CQ13" i="1"/>
  <c r="CP13" i="1"/>
  <c r="CM13" i="1"/>
  <c r="DH13" i="1" s="1"/>
  <c r="CG13" i="1"/>
  <c r="BY13" i="1"/>
  <c r="BX13" i="1"/>
  <c r="CS13" i="1" s="1"/>
  <c r="BP13" i="1"/>
  <c r="BM13" i="1"/>
  <c r="BL13" i="1"/>
  <c r="BJ13" i="1"/>
  <c r="BI13" i="1"/>
  <c r="BH13" i="1"/>
  <c r="BG13" i="1"/>
  <c r="BF13" i="1"/>
  <c r="BE13" i="1"/>
  <c r="BD13" i="1"/>
  <c r="BA13" i="1"/>
  <c r="AZ13" i="1"/>
  <c r="AY13" i="1"/>
  <c r="AV13" i="1"/>
  <c r="AP13" i="1"/>
  <c r="AH13" i="1"/>
  <c r="BC13" i="1" s="1"/>
  <c r="AG13" i="1"/>
  <c r="BB13" i="1" s="1"/>
  <c r="Z13" i="1"/>
  <c r="G13" i="1" s="1"/>
  <c r="DJ12" i="1"/>
  <c r="DH12" i="1"/>
  <c r="DG12" i="1"/>
  <c r="DF12" i="1"/>
  <c r="DD12" i="1"/>
  <c r="DC12" i="1"/>
  <c r="DB12" i="1"/>
  <c r="DA12" i="1"/>
  <c r="CZ12" i="1"/>
  <c r="CY12" i="1"/>
  <c r="CX12" i="1"/>
  <c r="CW12" i="1"/>
  <c r="CV12" i="1"/>
  <c r="CU12" i="1"/>
  <c r="CT12" i="1"/>
  <c r="CR12" i="1"/>
  <c r="CQ12" i="1"/>
  <c r="CP12" i="1"/>
  <c r="BX12" i="1"/>
  <c r="CS12" i="1" s="1"/>
  <c r="BQ12" i="1"/>
  <c r="BP12" i="1"/>
  <c r="BM12" i="1"/>
  <c r="BL12" i="1"/>
  <c r="BK12" i="1"/>
  <c r="BJ12" i="1"/>
  <c r="BI12" i="1"/>
  <c r="BH12" i="1"/>
  <c r="BG12" i="1"/>
  <c r="BF12" i="1"/>
  <c r="BF139" i="1" s="1"/>
  <c r="BE12" i="1"/>
  <c r="BD12" i="1"/>
  <c r="BC12" i="1"/>
  <c r="BA12" i="1"/>
  <c r="AZ12" i="1"/>
  <c r="AY12" i="1"/>
  <c r="AW12" i="1"/>
  <c r="AG12" i="1"/>
  <c r="BB12" i="1" s="1"/>
  <c r="AB12" i="1"/>
  <c r="AA12" i="1" s="1"/>
  <c r="G12" i="1"/>
  <c r="DJ11" i="1"/>
  <c r="DH11" i="1"/>
  <c r="DG11" i="1"/>
  <c r="DF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P11" i="1"/>
  <c r="BV11" i="1"/>
  <c r="BS11" i="1" s="1"/>
  <c r="BQ11" i="1"/>
  <c r="BP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Y11" i="1"/>
  <c r="AE11" i="1"/>
  <c r="G11" i="1"/>
  <c r="DH10" i="1"/>
  <c r="DG10" i="1"/>
  <c r="DF10" i="1"/>
  <c r="DD10" i="1"/>
  <c r="DC10" i="1"/>
  <c r="DB10" i="1"/>
  <c r="DA10" i="1"/>
  <c r="CZ10" i="1"/>
  <c r="CY10" i="1"/>
  <c r="CX10" i="1"/>
  <c r="CW10" i="1"/>
  <c r="CV10" i="1"/>
  <c r="CU10" i="1"/>
  <c r="CT10" i="1"/>
  <c r="CR10" i="1"/>
  <c r="CQ10" i="1"/>
  <c r="CP10" i="1"/>
  <c r="BX10" i="1"/>
  <c r="BS10" i="1" s="1"/>
  <c r="BQ10" i="1"/>
  <c r="BP10" i="1"/>
  <c r="BM10" i="1"/>
  <c r="BL10" i="1"/>
  <c r="BK10" i="1"/>
  <c r="BJ10" i="1"/>
  <c r="BI10" i="1"/>
  <c r="BH10" i="1"/>
  <c r="BG10" i="1"/>
  <c r="BF10" i="1"/>
  <c r="BE10" i="1"/>
  <c r="BD10" i="1"/>
  <c r="BC10" i="1"/>
  <c r="BA10" i="1"/>
  <c r="AZ10" i="1"/>
  <c r="AY10" i="1"/>
  <c r="AG10" i="1"/>
  <c r="AB10" i="1"/>
  <c r="K10" i="1"/>
  <c r="G10" i="1" s="1"/>
  <c r="DJ10" i="1" s="1"/>
  <c r="DG9" i="1"/>
  <c r="DF9" i="1"/>
  <c r="DD9" i="1"/>
  <c r="DC9" i="1"/>
  <c r="DB9" i="1"/>
  <c r="DA9" i="1"/>
  <c r="CZ9" i="1"/>
  <c r="CY9" i="1"/>
  <c r="CX9" i="1"/>
  <c r="CW9" i="1"/>
  <c r="CV9" i="1"/>
  <c r="CU9" i="1"/>
  <c r="CT9" i="1"/>
  <c r="CR9" i="1"/>
  <c r="CP9" i="1"/>
  <c r="CM9" i="1"/>
  <c r="BX9" i="1"/>
  <c r="BV9" i="1"/>
  <c r="BP9" i="1"/>
  <c r="BM9" i="1"/>
  <c r="BL9" i="1"/>
  <c r="BK9" i="1"/>
  <c r="BJ9" i="1"/>
  <c r="BI9" i="1"/>
  <c r="BH9" i="1"/>
  <c r="BG9" i="1"/>
  <c r="BF9" i="1"/>
  <c r="BE9" i="1"/>
  <c r="BD9" i="1"/>
  <c r="BC9" i="1"/>
  <c r="BA9" i="1"/>
  <c r="AY9" i="1"/>
  <c r="AV9" i="1"/>
  <c r="AG9" i="1"/>
  <c r="AE9" i="1"/>
  <c r="Z9" i="1"/>
  <c r="K9" i="1"/>
  <c r="I9" i="1"/>
  <c r="G9" i="1"/>
  <c r="DJ9" i="1" s="1"/>
  <c r="DH8" i="1"/>
  <c r="DG8" i="1"/>
  <c r="DF8" i="1"/>
  <c r="DD8" i="1"/>
  <c r="DD139" i="1" s="1"/>
  <c r="DC8" i="1"/>
  <c r="DC139" i="1" s="1"/>
  <c r="DB8" i="1"/>
  <c r="DB139" i="1" s="1"/>
  <c r="DA8" i="1"/>
  <c r="DA139" i="1" s="1"/>
  <c r="CZ8" i="1"/>
  <c r="CY8" i="1"/>
  <c r="CX8" i="1"/>
  <c r="CW8" i="1"/>
  <c r="CV8" i="1"/>
  <c r="CV139" i="1" s="1"/>
  <c r="CU8" i="1"/>
  <c r="CU139" i="1" s="1"/>
  <c r="CT8" i="1"/>
  <c r="CT139" i="1" s="1"/>
  <c r="CR8" i="1"/>
  <c r="CP8" i="1"/>
  <c r="BX8" i="1"/>
  <c r="BV8" i="1"/>
  <c r="BQ8" i="1"/>
  <c r="BP8" i="1"/>
  <c r="BM8" i="1"/>
  <c r="BL8" i="1"/>
  <c r="BK8" i="1"/>
  <c r="BJ8" i="1"/>
  <c r="BJ139" i="1" s="1"/>
  <c r="BI8" i="1"/>
  <c r="BI139" i="1" s="1"/>
  <c r="BH8" i="1"/>
  <c r="BH139" i="1" s="1"/>
  <c r="BG8" i="1"/>
  <c r="BF8" i="1"/>
  <c r="BE8" i="1"/>
  <c r="BD8" i="1"/>
  <c r="BC8" i="1"/>
  <c r="BA8" i="1"/>
  <c r="BA139" i="1" s="1"/>
  <c r="AY8" i="1"/>
  <c r="AG8" i="1"/>
  <c r="AE8" i="1"/>
  <c r="K8" i="1"/>
  <c r="I8" i="1"/>
  <c r="DH7" i="1"/>
  <c r="DG7" i="1"/>
  <c r="DF7" i="1"/>
  <c r="DD7" i="1"/>
  <c r="DC7" i="1"/>
  <c r="DB7" i="1"/>
  <c r="DA7" i="1"/>
  <c r="CZ7" i="1"/>
  <c r="CY7" i="1"/>
  <c r="CX7" i="1"/>
  <c r="CW7" i="1"/>
  <c r="CV7" i="1"/>
  <c r="CU7" i="1"/>
  <c r="CT7" i="1"/>
  <c r="CR7" i="1"/>
  <c r="CQ7" i="1"/>
  <c r="CP7" i="1"/>
  <c r="CO7" i="1" s="1"/>
  <c r="CM7" i="1"/>
  <c r="BS7" i="1"/>
  <c r="BP7" i="1"/>
  <c r="BM7" i="1"/>
  <c r="BL7" i="1"/>
  <c r="BK7" i="1"/>
  <c r="BJ7" i="1"/>
  <c r="BI7" i="1"/>
  <c r="BH7" i="1"/>
  <c r="BG7" i="1"/>
  <c r="BF7" i="1"/>
  <c r="BE7" i="1"/>
  <c r="BD7" i="1"/>
  <c r="BC7" i="1"/>
  <c r="BA7" i="1"/>
  <c r="AY7" i="1"/>
  <c r="AV7" i="1"/>
  <c r="AB7" i="1" s="1"/>
  <c r="Z7" i="1"/>
  <c r="K7" i="1"/>
  <c r="CS7" i="1" s="1"/>
  <c r="I7" i="1"/>
  <c r="AZ7" i="1" s="1"/>
  <c r="DH6" i="1"/>
  <c r="DG6" i="1"/>
  <c r="DG20" i="1" s="1"/>
  <c r="DF6" i="1"/>
  <c r="DD6" i="1"/>
  <c r="DC6" i="1"/>
  <c r="DB6" i="1"/>
  <c r="DA6" i="1"/>
  <c r="CZ6" i="1"/>
  <c r="CY6" i="1"/>
  <c r="CX6" i="1"/>
  <c r="CW6" i="1"/>
  <c r="CV6" i="1"/>
  <c r="CU6" i="1"/>
  <c r="CT6" i="1"/>
  <c r="CR6" i="1"/>
  <c r="CQ6" i="1"/>
  <c r="CP6" i="1"/>
  <c r="BX6" i="1"/>
  <c r="BQ6" i="1"/>
  <c r="BP6" i="1"/>
  <c r="BM6" i="1"/>
  <c r="BL6" i="1"/>
  <c r="BK6" i="1"/>
  <c r="BJ6" i="1"/>
  <c r="BI6" i="1"/>
  <c r="BH6" i="1"/>
  <c r="BG6" i="1"/>
  <c r="BF6" i="1"/>
  <c r="BE6" i="1"/>
  <c r="BD6" i="1"/>
  <c r="BC6" i="1"/>
  <c r="BB6" i="1"/>
  <c r="AX6" i="1" s="1"/>
  <c r="DK6" i="1" s="1"/>
  <c r="BA6" i="1"/>
  <c r="AZ6" i="1"/>
  <c r="AY6" i="1"/>
  <c r="AW6" i="1"/>
  <c r="AG6" i="1"/>
  <c r="AB6" i="1"/>
  <c r="AA6" i="1" s="1"/>
  <c r="K6" i="1"/>
  <c r="I6" i="1"/>
  <c r="G6" i="1" s="1"/>
  <c r="DJ6" i="1" s="1"/>
  <c r="DG5" i="1"/>
  <c r="DF5" i="1"/>
  <c r="DD5" i="1"/>
  <c r="DC5" i="1"/>
  <c r="DB5" i="1"/>
  <c r="DA5" i="1"/>
  <c r="CZ5" i="1"/>
  <c r="CY5" i="1"/>
  <c r="CX5" i="1"/>
  <c r="CW5" i="1"/>
  <c r="CV5" i="1"/>
  <c r="CU5" i="1"/>
  <c r="CT5" i="1"/>
  <c r="CR5" i="1"/>
  <c r="CP5" i="1"/>
  <c r="CM5" i="1"/>
  <c r="BX5" i="1"/>
  <c r="BP5" i="1"/>
  <c r="BM5" i="1"/>
  <c r="BL5" i="1"/>
  <c r="BK5" i="1"/>
  <c r="BJ5" i="1"/>
  <c r="BI5" i="1"/>
  <c r="BI20" i="1" s="1"/>
  <c r="BH5" i="1"/>
  <c r="BG5" i="1"/>
  <c r="BF5" i="1"/>
  <c r="BE5" i="1"/>
  <c r="BD5" i="1"/>
  <c r="BC5" i="1"/>
  <c r="BB5" i="1"/>
  <c r="BA5" i="1"/>
  <c r="AZ5" i="1"/>
  <c r="AY5" i="1"/>
  <c r="AV5" i="1"/>
  <c r="AB5" i="1" s="1"/>
  <c r="AG5" i="1"/>
  <c r="Z5" i="1"/>
  <c r="K5" i="1"/>
  <c r="I5" i="1"/>
  <c r="I141" i="1" s="1"/>
  <c r="DJ4" i="1"/>
  <c r="DH4" i="1"/>
  <c r="DG4" i="1"/>
  <c r="DF4" i="1"/>
  <c r="DD4" i="1"/>
  <c r="DC4" i="1"/>
  <c r="DB4" i="1"/>
  <c r="DA4" i="1"/>
  <c r="CZ4" i="1"/>
  <c r="CY4" i="1"/>
  <c r="CX4" i="1"/>
  <c r="CX141" i="1" s="1"/>
  <c r="CW4" i="1"/>
  <c r="CV4" i="1"/>
  <c r="CU4" i="1"/>
  <c r="CT4" i="1"/>
  <c r="CR4" i="1"/>
  <c r="CQ4" i="1"/>
  <c r="CP4" i="1"/>
  <c r="BX4" i="1"/>
  <c r="BS4" i="1" s="1"/>
  <c r="BQ4" i="1"/>
  <c r="BP4" i="1"/>
  <c r="BO4" i="1"/>
  <c r="BO141" i="1" s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B4" i="1"/>
  <c r="AA4" i="1"/>
  <c r="AW4" i="1" s="1"/>
  <c r="G4" i="1"/>
  <c r="CH3" i="1"/>
  <c r="DC3" i="1" s="1"/>
  <c r="AQ3" i="1"/>
  <c r="BL132" i="3" l="1"/>
  <c r="BS24" i="1"/>
  <c r="BR24" i="1" s="1"/>
  <c r="CN24" i="1" s="1"/>
  <c r="AX52" i="2"/>
  <c r="AX51" i="1"/>
  <c r="AB66" i="1"/>
  <c r="AA66" i="1" s="1"/>
  <c r="AW66" i="1" s="1"/>
  <c r="BS115" i="1"/>
  <c r="BR115" i="1" s="1"/>
  <c r="CN115" i="1" s="1"/>
  <c r="BU144" i="1"/>
  <c r="AB8" i="1"/>
  <c r="AB79" i="1"/>
  <c r="AA79" i="1" s="1"/>
  <c r="AW79" i="1" s="1"/>
  <c r="CG134" i="3"/>
  <c r="DH75" i="1"/>
  <c r="CO75" i="1" s="1"/>
  <c r="DL75" i="1" s="1"/>
  <c r="BS106" i="1"/>
  <c r="BS30" i="1"/>
  <c r="BR30" i="1" s="1"/>
  <c r="CN30" i="1" s="1"/>
  <c r="BS104" i="1"/>
  <c r="BR104" i="1" s="1"/>
  <c r="CN104" i="1" s="1"/>
  <c r="BB130" i="1"/>
  <c r="AX130" i="1" s="1"/>
  <c r="DK130" i="1" s="1"/>
  <c r="AX66" i="3"/>
  <c r="BI141" i="3"/>
  <c r="AA114" i="3"/>
  <c r="AW114" i="3" s="1"/>
  <c r="BR56" i="2"/>
  <c r="CN56" i="2" s="1"/>
  <c r="BJ125" i="1"/>
  <c r="AX114" i="3"/>
  <c r="BR126" i="2"/>
  <c r="CN126" i="2" s="1"/>
  <c r="BR119" i="3"/>
  <c r="CN119" i="3" s="1"/>
  <c r="DB20" i="3"/>
  <c r="DB134" i="3" s="1"/>
  <c r="DH139" i="3"/>
  <c r="AZ8" i="1"/>
  <c r="BS8" i="1"/>
  <c r="CM139" i="1"/>
  <c r="DC37" i="1"/>
  <c r="CO117" i="3"/>
  <c r="CO62" i="1"/>
  <c r="AB117" i="1"/>
  <c r="AB118" i="1"/>
  <c r="AA118" i="1" s="1"/>
  <c r="AW118" i="1" s="1"/>
  <c r="BR123" i="3"/>
  <c r="CN123" i="3" s="1"/>
  <c r="BX134" i="3"/>
  <c r="BS41" i="1"/>
  <c r="BR41" i="1" s="1"/>
  <c r="CN41" i="1" s="1"/>
  <c r="CO57" i="1"/>
  <c r="DL57" i="1" s="1"/>
  <c r="BL38" i="1"/>
  <c r="AX38" i="1" s="1"/>
  <c r="DK38" i="1" s="1"/>
  <c r="BS56" i="1"/>
  <c r="BR56" i="1" s="1"/>
  <c r="CN56" i="1" s="1"/>
  <c r="BM99" i="1"/>
  <c r="AX99" i="1" s="1"/>
  <c r="DK99" i="1" s="1"/>
  <c r="CR133" i="2"/>
  <c r="CR135" i="2" s="1"/>
  <c r="AX131" i="3"/>
  <c r="DC27" i="1"/>
  <c r="AB86" i="1"/>
  <c r="AA86" i="1" s="1"/>
  <c r="AW86" i="1" s="1"/>
  <c r="AB116" i="1"/>
  <c r="AA116" i="1" s="1"/>
  <c r="AW116" i="1" s="1"/>
  <c r="BL57" i="1"/>
  <c r="AX57" i="1" s="1"/>
  <c r="DK57" i="1" s="1"/>
  <c r="BS63" i="1"/>
  <c r="DL63" i="1" s="1"/>
  <c r="BR132" i="2"/>
  <c r="CN132" i="2" s="1"/>
  <c r="BQ138" i="3"/>
  <c r="BO126" i="1"/>
  <c r="BO143" i="1" s="1"/>
  <c r="BS38" i="1"/>
  <c r="BR38" i="1" s="1"/>
  <c r="CN38" i="1" s="1"/>
  <c r="AX47" i="1"/>
  <c r="BS51" i="1"/>
  <c r="BR51" i="1" s="1"/>
  <c r="CN51" i="1" s="1"/>
  <c r="BS70" i="1"/>
  <c r="BR70" i="1" s="1"/>
  <c r="CN70" i="1" s="1"/>
  <c r="BS90" i="1"/>
  <c r="BR90" i="1" s="1"/>
  <c r="CN90" i="1" s="1"/>
  <c r="AE113" i="1"/>
  <c r="AM137" i="1"/>
  <c r="AM144" i="1" s="1"/>
  <c r="AM146" i="1" s="1"/>
  <c r="AO133" i="1"/>
  <c r="BG136" i="3"/>
  <c r="BC20" i="3"/>
  <c r="BL27" i="1"/>
  <c r="AX27" i="1" s="1"/>
  <c r="DK27" i="1" s="1"/>
  <c r="BJ39" i="1"/>
  <c r="BS62" i="1"/>
  <c r="BM96" i="1"/>
  <c r="AX96" i="1" s="1"/>
  <c r="DK96" i="1" s="1"/>
  <c r="CD138" i="1"/>
  <c r="BS131" i="1"/>
  <c r="BQ144" i="3"/>
  <c r="AN134" i="3"/>
  <c r="AX90" i="3"/>
  <c r="AO134" i="3"/>
  <c r="AA8" i="3"/>
  <c r="AW8" i="3" s="1"/>
  <c r="BS12" i="1"/>
  <c r="BR12" i="1" s="1"/>
  <c r="CN12" i="1" s="1"/>
  <c r="DH40" i="1"/>
  <c r="DC44" i="1"/>
  <c r="AB67" i="1"/>
  <c r="AP134" i="3"/>
  <c r="CO37" i="1"/>
  <c r="DL37" i="1" s="1"/>
  <c r="AX39" i="1"/>
  <c r="DK39" i="1" s="1"/>
  <c r="BI66" i="1"/>
  <c r="BI93" i="1" s="1"/>
  <c r="DH119" i="1"/>
  <c r="CO119" i="1" s="1"/>
  <c r="DL119" i="1" s="1"/>
  <c r="BQ123" i="1"/>
  <c r="AX123" i="1" s="1"/>
  <c r="DK123" i="1" s="1"/>
  <c r="BL46" i="1"/>
  <c r="BQ115" i="1"/>
  <c r="BQ137" i="1" s="1"/>
  <c r="CD137" i="1"/>
  <c r="CY115" i="1"/>
  <c r="CQ118" i="1"/>
  <c r="CS132" i="3"/>
  <c r="AB19" i="1"/>
  <c r="AA19" i="1" s="1"/>
  <c r="AW19" i="1" s="1"/>
  <c r="BS19" i="1"/>
  <c r="CM60" i="1"/>
  <c r="AB47" i="1"/>
  <c r="AA47" i="1" s="1"/>
  <c r="AW47" i="1" s="1"/>
  <c r="AZ52" i="1"/>
  <c r="AX52" i="1" s="1"/>
  <c r="DK52" i="1" s="1"/>
  <c r="BS53" i="1"/>
  <c r="DL53" i="1" s="1"/>
  <c r="AB112" i="1"/>
  <c r="AB119" i="1"/>
  <c r="AA119" i="1" s="1"/>
  <c r="AW119" i="1" s="1"/>
  <c r="DA140" i="2"/>
  <c r="AX115" i="3"/>
  <c r="CO131" i="3"/>
  <c r="AX126" i="3"/>
  <c r="CO52" i="3"/>
  <c r="AP141" i="1"/>
  <c r="BK13" i="1"/>
  <c r="BK20" i="1" s="1"/>
  <c r="AP20" i="1"/>
  <c r="CS15" i="1"/>
  <c r="CO15" i="1" s="1"/>
  <c r="DL15" i="1" s="1"/>
  <c r="DK32" i="1"/>
  <c r="AX33" i="1"/>
  <c r="DK33" i="1" s="1"/>
  <c r="AB63" i="1"/>
  <c r="AA63" i="1" s="1"/>
  <c r="AW63" i="1" s="1"/>
  <c r="BS81" i="1"/>
  <c r="BR81" i="1" s="1"/>
  <c r="CN81" i="1" s="1"/>
  <c r="AB84" i="1"/>
  <c r="BS86" i="1"/>
  <c r="BR86" i="1" s="1"/>
  <c r="CN86" i="1" s="1"/>
  <c r="DH90" i="1"/>
  <c r="CS90" i="1"/>
  <c r="DD97" i="1"/>
  <c r="AP143" i="1"/>
  <c r="AP133" i="1"/>
  <c r="AD145" i="1"/>
  <c r="BY142" i="1"/>
  <c r="BY93" i="1"/>
  <c r="BS73" i="1"/>
  <c r="BR73" i="1" s="1"/>
  <c r="CN73" i="1" s="1"/>
  <c r="CS73" i="1"/>
  <c r="CO73" i="1" s="1"/>
  <c r="AR113" i="1"/>
  <c r="AR135" i="1" s="1"/>
  <c r="AB111" i="1"/>
  <c r="AZ111" i="1"/>
  <c r="AX111" i="1" s="1"/>
  <c r="BS6" i="1"/>
  <c r="CS6" i="1"/>
  <c r="CO6" i="1" s="1"/>
  <c r="DL6" i="1" s="1"/>
  <c r="BQ19" i="1"/>
  <c r="CL60" i="1"/>
  <c r="CL135" i="1" s="1"/>
  <c r="BS85" i="1"/>
  <c r="BR85" i="1" s="1"/>
  <c r="CN85" i="1" s="1"/>
  <c r="DA85" i="1"/>
  <c r="CO85" i="1" s="1"/>
  <c r="DL85" i="1" s="1"/>
  <c r="BX145" i="1"/>
  <c r="CS106" i="1"/>
  <c r="CS145" i="1" s="1"/>
  <c r="AB127" i="1"/>
  <c r="AA127" i="1" s="1"/>
  <c r="AW127" i="1" s="1"/>
  <c r="DG141" i="1"/>
  <c r="BS5" i="1"/>
  <c r="CS5" i="1"/>
  <c r="CS8" i="1"/>
  <c r="CQ11" i="1"/>
  <c r="CO11" i="1" s="1"/>
  <c r="DL11" i="1" s="1"/>
  <c r="AZ21" i="1"/>
  <c r="AX21" i="1" s="1"/>
  <c r="AB21" i="1"/>
  <c r="AS140" i="1"/>
  <c r="AS60" i="1"/>
  <c r="BS40" i="1"/>
  <c r="BR40" i="1" s="1"/>
  <c r="CN40" i="1" s="1"/>
  <c r="BS54" i="1"/>
  <c r="AX108" i="1"/>
  <c r="DK108" i="1" s="1"/>
  <c r="BX113" i="1"/>
  <c r="AZ114" i="1"/>
  <c r="AX114" i="1" s="1"/>
  <c r="BK126" i="1"/>
  <c r="AX126" i="1" s="1"/>
  <c r="AG133" i="1"/>
  <c r="AB131" i="1"/>
  <c r="AA131" i="1" s="1"/>
  <c r="AW131" i="1" s="1"/>
  <c r="BB131" i="1"/>
  <c r="AX131" i="1" s="1"/>
  <c r="AX91" i="3"/>
  <c r="CG143" i="1"/>
  <c r="CG133" i="1"/>
  <c r="DB126" i="1"/>
  <c r="DB133" i="1" s="1"/>
  <c r="AQ133" i="1"/>
  <c r="BX133" i="1"/>
  <c r="AX82" i="3"/>
  <c r="BJ139" i="3"/>
  <c r="BJ60" i="3"/>
  <c r="CO110" i="3"/>
  <c r="CQ112" i="3"/>
  <c r="CQ144" i="3"/>
  <c r="BS55" i="1"/>
  <c r="BR55" i="1" s="1"/>
  <c r="CN55" i="1" s="1"/>
  <c r="DC55" i="1"/>
  <c r="CO55" i="1" s="1"/>
  <c r="BS110" i="1"/>
  <c r="BR110" i="1" s="1"/>
  <c r="CN110" i="1" s="1"/>
  <c r="CQ110" i="1"/>
  <c r="CO110" i="1" s="1"/>
  <c r="DL110" i="1" s="1"/>
  <c r="BA116" i="1"/>
  <c r="CF141" i="1"/>
  <c r="CF20" i="1"/>
  <c r="AB102" i="1"/>
  <c r="BM102" i="1"/>
  <c r="DH114" i="1"/>
  <c r="DH137" i="1" s="1"/>
  <c r="AX53" i="1"/>
  <c r="AB78" i="1"/>
  <c r="AA78" i="1" s="1"/>
  <c r="AW78" i="1" s="1"/>
  <c r="BB78" i="1"/>
  <c r="AX78" i="1" s="1"/>
  <c r="CS78" i="1"/>
  <c r="CO78" i="1" s="1"/>
  <c r="DL78" i="1" s="1"/>
  <c r="BB89" i="1"/>
  <c r="AX89" i="1" s="1"/>
  <c r="DK89" i="1" s="1"/>
  <c r="DD99" i="1"/>
  <c r="BS99" i="1"/>
  <c r="DC109" i="1"/>
  <c r="BH116" i="1"/>
  <c r="AQ141" i="1"/>
  <c r="BL35" i="1"/>
  <c r="AX35" i="1" s="1"/>
  <c r="AB35" i="1"/>
  <c r="AA35" i="1" s="1"/>
  <c r="AW35" i="1" s="1"/>
  <c r="AE20" i="1"/>
  <c r="AB80" i="1"/>
  <c r="AA80" i="1" s="1"/>
  <c r="AW80" i="1" s="1"/>
  <c r="BB80" i="1"/>
  <c r="AX80" i="1" s="1"/>
  <c r="DC100" i="1"/>
  <c r="CO100" i="1" s="1"/>
  <c r="CH113" i="1"/>
  <c r="BS125" i="1"/>
  <c r="BR125" i="1" s="1"/>
  <c r="CN125" i="1" s="1"/>
  <c r="DA125" i="1"/>
  <c r="DA133" i="1" s="1"/>
  <c r="BS128" i="1"/>
  <c r="BR128" i="1" s="1"/>
  <c r="CN128" i="1" s="1"/>
  <c r="CS128" i="1"/>
  <c r="CO128" i="1" s="1"/>
  <c r="BS47" i="1"/>
  <c r="DC47" i="1"/>
  <c r="AX72" i="1"/>
  <c r="AB88" i="1"/>
  <c r="AA88" i="1" s="1"/>
  <c r="AW88" i="1" s="1"/>
  <c r="BB88" i="1"/>
  <c r="AX88" i="1" s="1"/>
  <c r="BS89" i="1"/>
  <c r="BR89" i="1" s="1"/>
  <c r="CN89" i="1" s="1"/>
  <c r="CS89" i="1"/>
  <c r="CO89" i="1" s="1"/>
  <c r="BS36" i="1"/>
  <c r="DC36" i="1"/>
  <c r="CO36" i="1" s="1"/>
  <c r="BC140" i="1"/>
  <c r="AB25" i="1"/>
  <c r="AA25" i="1" s="1"/>
  <c r="AW25" i="1" s="1"/>
  <c r="AU140" i="1"/>
  <c r="AU144" i="1" s="1"/>
  <c r="AU146" i="1" s="1"/>
  <c r="BL55" i="1"/>
  <c r="AX55" i="1" s="1"/>
  <c r="AB55" i="1"/>
  <c r="BQ59" i="1"/>
  <c r="AX59" i="1" s="1"/>
  <c r="AB59" i="1"/>
  <c r="AA59" i="1" s="1"/>
  <c r="AW59" i="1" s="1"/>
  <c r="BS61" i="1"/>
  <c r="BS74" i="1"/>
  <c r="BR74" i="1" s="1"/>
  <c r="CN74" i="1" s="1"/>
  <c r="BS79" i="1"/>
  <c r="BR79" i="1" s="1"/>
  <c r="CN79" i="1" s="1"/>
  <c r="CS79" i="1"/>
  <c r="CO79" i="1" s="1"/>
  <c r="AB97" i="1"/>
  <c r="CO99" i="1"/>
  <c r="BV137" i="1"/>
  <c r="BS114" i="1"/>
  <c r="CQ115" i="1"/>
  <c r="BG115" i="1"/>
  <c r="BG133" i="1" s="1"/>
  <c r="BJ129" i="1"/>
  <c r="AX129" i="1" s="1"/>
  <c r="AB129" i="1"/>
  <c r="AA129" i="1" s="1"/>
  <c r="AW129" i="1" s="1"/>
  <c r="BS130" i="1"/>
  <c r="BR130" i="1" s="1"/>
  <c r="CN130" i="1" s="1"/>
  <c r="AX108" i="3"/>
  <c r="CO9" i="3"/>
  <c r="AX40" i="3"/>
  <c r="CQ138" i="3"/>
  <c r="CC144" i="1"/>
  <c r="CC146" i="1" s="1"/>
  <c r="DF133" i="1"/>
  <c r="BR100" i="2"/>
  <c r="CN100" i="2" s="1"/>
  <c r="CO114" i="3"/>
  <c r="AA99" i="3"/>
  <c r="AW99" i="3" s="1"/>
  <c r="DG60" i="3"/>
  <c r="DG134" i="3" s="1"/>
  <c r="BJ141" i="3"/>
  <c r="CS9" i="1"/>
  <c r="AB40" i="1"/>
  <c r="AA40" i="1" s="1"/>
  <c r="AW40" i="1" s="1"/>
  <c r="DH59" i="1"/>
  <c r="CO59" i="1" s="1"/>
  <c r="DL59" i="1" s="1"/>
  <c r="CO12" i="1"/>
  <c r="DL24" i="1"/>
  <c r="BL45" i="1"/>
  <c r="AX45" i="1" s="1"/>
  <c r="DK45" i="1" s="1"/>
  <c r="CO56" i="1"/>
  <c r="AX67" i="1"/>
  <c r="DK67" i="1" s="1"/>
  <c r="AX82" i="1"/>
  <c r="CO102" i="1"/>
  <c r="BS105" i="1"/>
  <c r="DD105" i="1"/>
  <c r="BL109" i="1"/>
  <c r="AX109" i="1" s="1"/>
  <c r="DK109" i="1" s="1"/>
  <c r="CX115" i="1"/>
  <c r="CX137" i="1" s="1"/>
  <c r="CF133" i="1"/>
  <c r="DG133" i="1"/>
  <c r="BS120" i="1"/>
  <c r="BR120" i="1" s="1"/>
  <c r="CN120" i="1" s="1"/>
  <c r="CO127" i="2"/>
  <c r="CO104" i="3"/>
  <c r="AX102" i="3"/>
  <c r="BR119" i="2"/>
  <c r="CN119" i="2" s="1"/>
  <c r="AX7" i="3"/>
  <c r="AX5" i="3"/>
  <c r="BS9" i="1"/>
  <c r="BR9" i="1" s="1"/>
  <c r="CN9" i="1" s="1"/>
  <c r="BB17" i="1"/>
  <c r="BS23" i="1"/>
  <c r="BR23" i="1" s="1"/>
  <c r="CN23" i="1" s="1"/>
  <c r="CE60" i="1"/>
  <c r="AB54" i="1"/>
  <c r="BQ92" i="1"/>
  <c r="AX125" i="1"/>
  <c r="DK125" i="1" s="1"/>
  <c r="CD144" i="2"/>
  <c r="CD146" i="2" s="1"/>
  <c r="CO84" i="2"/>
  <c r="AX19" i="3"/>
  <c r="AX84" i="3"/>
  <c r="AX97" i="3"/>
  <c r="V145" i="3"/>
  <c r="BJ93" i="3"/>
  <c r="BQ60" i="3"/>
  <c r="CS93" i="3"/>
  <c r="U134" i="3"/>
  <c r="CO58" i="3"/>
  <c r="AA119" i="3"/>
  <c r="AW119" i="3" s="1"/>
  <c r="AA52" i="3"/>
  <c r="AW52" i="3" s="1"/>
  <c r="CT140" i="3"/>
  <c r="CO126" i="3"/>
  <c r="AZ132" i="3"/>
  <c r="BL112" i="3"/>
  <c r="BY134" i="3"/>
  <c r="CE134" i="3"/>
  <c r="CS140" i="3"/>
  <c r="BR104" i="3"/>
  <c r="CN104" i="3" s="1"/>
  <c r="BQ139" i="3"/>
  <c r="CZ93" i="3"/>
  <c r="AZ60" i="3"/>
  <c r="AX6" i="3"/>
  <c r="AX52" i="3"/>
  <c r="AX23" i="3"/>
  <c r="AH134" i="3"/>
  <c r="CZ60" i="3"/>
  <c r="CO115" i="3"/>
  <c r="CO41" i="3"/>
  <c r="AA27" i="3"/>
  <c r="AW27" i="3" s="1"/>
  <c r="G137" i="3"/>
  <c r="CH134" i="3"/>
  <c r="AG143" i="3"/>
  <c r="AG145" i="3" s="1"/>
  <c r="BB138" i="3"/>
  <c r="BB140" i="3"/>
  <c r="AQ134" i="3"/>
  <c r="CW134" i="3"/>
  <c r="CO113" i="3"/>
  <c r="BP134" i="3"/>
  <c r="BB132" i="3"/>
  <c r="DH137" i="3"/>
  <c r="AA118" i="3"/>
  <c r="AW118" i="3" s="1"/>
  <c r="DF132" i="3"/>
  <c r="DF134" i="3" s="1"/>
  <c r="AX105" i="3"/>
  <c r="AZ112" i="3"/>
  <c r="AA105" i="3"/>
  <c r="AW105" i="3" s="1"/>
  <c r="H145" i="3"/>
  <c r="CP112" i="3"/>
  <c r="CP134" i="3" s="1"/>
  <c r="AY144" i="3"/>
  <c r="BG134" i="3"/>
  <c r="AX103" i="3"/>
  <c r="AB136" i="3"/>
  <c r="Z134" i="3"/>
  <c r="CO65" i="3"/>
  <c r="CF134" i="3"/>
  <c r="BR74" i="3"/>
  <c r="CN74" i="3" s="1"/>
  <c r="DA93" i="3"/>
  <c r="DH141" i="3"/>
  <c r="BF134" i="3"/>
  <c r="BB93" i="3"/>
  <c r="DA141" i="3"/>
  <c r="BQ141" i="3"/>
  <c r="AB137" i="3"/>
  <c r="AB138" i="3"/>
  <c r="AA138" i="3" s="1"/>
  <c r="AW138" i="3" s="1"/>
  <c r="BS136" i="3"/>
  <c r="BS141" i="3"/>
  <c r="AV143" i="3"/>
  <c r="AV145" i="3" s="1"/>
  <c r="AA59" i="3"/>
  <c r="AW59" i="3" s="1"/>
  <c r="BS138" i="3"/>
  <c r="BR138" i="3" s="1"/>
  <c r="CN138" i="3" s="1"/>
  <c r="CT139" i="3"/>
  <c r="CO23" i="3"/>
  <c r="G60" i="3"/>
  <c r="AA23" i="3"/>
  <c r="AW23" i="3" s="1"/>
  <c r="DC139" i="3"/>
  <c r="DC143" i="3" s="1"/>
  <c r="BE143" i="3"/>
  <c r="BE145" i="3" s="1"/>
  <c r="AA31" i="3"/>
  <c r="AW31" i="3" s="1"/>
  <c r="AX58" i="3"/>
  <c r="CZ139" i="3"/>
  <c r="BR44" i="3"/>
  <c r="CN44" i="3" s="1"/>
  <c r="BR49" i="3"/>
  <c r="CN49" i="3" s="1"/>
  <c r="AQ143" i="3"/>
  <c r="AQ145" i="3" s="1"/>
  <c r="CV143" i="3"/>
  <c r="CV145" i="3" s="1"/>
  <c r="BI134" i="3"/>
  <c r="AR145" i="3"/>
  <c r="BS142" i="3"/>
  <c r="BR142" i="3" s="1"/>
  <c r="CN142" i="3" s="1"/>
  <c r="CO30" i="3"/>
  <c r="BX143" i="3"/>
  <c r="BX145" i="3" s="1"/>
  <c r="Z143" i="3"/>
  <c r="Z145" i="3" s="1"/>
  <c r="AO143" i="3"/>
  <c r="AO145" i="3" s="1"/>
  <c r="AB141" i="3"/>
  <c r="BB20" i="3"/>
  <c r="AZ20" i="3"/>
  <c r="CO13" i="3"/>
  <c r="BS137" i="3"/>
  <c r="AD145" i="3"/>
  <c r="BS140" i="3"/>
  <c r="CV134" i="3"/>
  <c r="BO143" i="3"/>
  <c r="BO145" i="3" s="1"/>
  <c r="AX9" i="3"/>
  <c r="AA7" i="3"/>
  <c r="AW7" i="3" s="1"/>
  <c r="U143" i="3"/>
  <c r="U145" i="3" s="1"/>
  <c r="CO8" i="3"/>
  <c r="AB140" i="3"/>
  <c r="CO19" i="3"/>
  <c r="CO7" i="3"/>
  <c r="AZ140" i="3"/>
  <c r="BI143" i="3"/>
  <c r="BI145" i="3" s="1"/>
  <c r="AB139" i="3"/>
  <c r="BP143" i="3"/>
  <c r="BP145" i="3" s="1"/>
  <c r="BV143" i="3"/>
  <c r="BV145" i="3" s="1"/>
  <c r="K143" i="3"/>
  <c r="K145" i="3" s="1"/>
  <c r="BF143" i="3"/>
  <c r="BF145" i="3" s="1"/>
  <c r="BQ140" i="3"/>
  <c r="CH143" i="3"/>
  <c r="CH145" i="3" s="1"/>
  <c r="CO15" i="3"/>
  <c r="AX129" i="3"/>
  <c r="Q143" i="3"/>
  <c r="Q145" i="3" s="1"/>
  <c r="DF143" i="3"/>
  <c r="DF145" i="3" s="1"/>
  <c r="DC60" i="3"/>
  <c r="BR17" i="3"/>
  <c r="CN17" i="3" s="1"/>
  <c r="BL139" i="3"/>
  <c r="BL143" i="3" s="1"/>
  <c r="BL145" i="3" s="1"/>
  <c r="CI145" i="3"/>
  <c r="BM144" i="3"/>
  <c r="BM112" i="3"/>
  <c r="BM134" i="3" s="1"/>
  <c r="AX94" i="3"/>
  <c r="CO106" i="3"/>
  <c r="BS112" i="3"/>
  <c r="BN139" i="3"/>
  <c r="BN143" i="3" s="1"/>
  <c r="BN145" i="3" s="1"/>
  <c r="BN60" i="3"/>
  <c r="BN134" i="3" s="1"/>
  <c r="AA122" i="3"/>
  <c r="AW122" i="3" s="1"/>
  <c r="DA60" i="3"/>
  <c r="K134" i="3"/>
  <c r="AA21" i="3"/>
  <c r="AW21" i="3" s="1"/>
  <c r="AB60" i="3"/>
  <c r="AB150" i="3" s="1"/>
  <c r="G150" i="3" s="1"/>
  <c r="AX13" i="3"/>
  <c r="BV134" i="3"/>
  <c r="CS20" i="3"/>
  <c r="DC112" i="3"/>
  <c r="DC132" i="3"/>
  <c r="DB142" i="3"/>
  <c r="CO142" i="3" s="1"/>
  <c r="CO125" i="3"/>
  <c r="AB144" i="3"/>
  <c r="AA113" i="3"/>
  <c r="AW113" i="3" s="1"/>
  <c r="AB132" i="3"/>
  <c r="AB153" i="3" s="1"/>
  <c r="G153" i="3" s="1"/>
  <c r="AB142" i="3"/>
  <c r="AA142" i="3" s="1"/>
  <c r="AW142" i="3" s="1"/>
  <c r="BQ112" i="3"/>
  <c r="BR121" i="3"/>
  <c r="CN121" i="3" s="1"/>
  <c r="BC139" i="3"/>
  <c r="BR97" i="3"/>
  <c r="CN97" i="3" s="1"/>
  <c r="AB93" i="3"/>
  <c r="AB151" i="3" s="1"/>
  <c r="G151" i="3" s="1"/>
  <c r="CQ139" i="3"/>
  <c r="CQ60" i="3"/>
  <c r="CP144" i="3"/>
  <c r="CM134" i="3"/>
  <c r="BR106" i="3"/>
  <c r="CN106" i="3" s="1"/>
  <c r="AY112" i="3"/>
  <c r="AY134" i="3" s="1"/>
  <c r="DA139" i="3"/>
  <c r="CP143" i="3"/>
  <c r="G141" i="3"/>
  <c r="G93" i="3"/>
  <c r="AA61" i="3"/>
  <c r="AW61" i="3" s="1"/>
  <c r="DH20" i="3"/>
  <c r="BR23" i="3"/>
  <c r="CN23" i="3" s="1"/>
  <c r="AA43" i="3"/>
  <c r="AW43" i="3" s="1"/>
  <c r="AA18" i="3"/>
  <c r="AW18" i="3" s="1"/>
  <c r="BL60" i="3"/>
  <c r="CO27" i="3"/>
  <c r="AZ144" i="3"/>
  <c r="CU136" i="3"/>
  <c r="CU143" i="3" s="1"/>
  <c r="CU145" i="3" s="1"/>
  <c r="CU132" i="3"/>
  <c r="G132" i="3"/>
  <c r="G136" i="3"/>
  <c r="AE143" i="3"/>
  <c r="AE145" i="3" s="1"/>
  <c r="G144" i="3"/>
  <c r="G112" i="3"/>
  <c r="AX65" i="3"/>
  <c r="DH93" i="3"/>
  <c r="CT141" i="3"/>
  <c r="CT93" i="3"/>
  <c r="CT134" i="3" s="1"/>
  <c r="AB112" i="3"/>
  <c r="AB152" i="3" s="1"/>
  <c r="G152" i="3" s="1"/>
  <c r="AA94" i="3"/>
  <c r="AW94" i="3" s="1"/>
  <c r="AE134" i="3"/>
  <c r="BO132" i="3"/>
  <c r="BO134" i="3" s="1"/>
  <c r="DH132" i="3"/>
  <c r="CM143" i="3"/>
  <c r="CM145" i="3" s="1"/>
  <c r="I143" i="3"/>
  <c r="I145" i="3" s="1"/>
  <c r="AA115" i="3"/>
  <c r="AW115" i="3" s="1"/>
  <c r="AX116" i="3"/>
  <c r="CX143" i="3"/>
  <c r="CX145" i="3" s="1"/>
  <c r="DD144" i="3"/>
  <c r="DD112" i="3"/>
  <c r="DD134" i="3" s="1"/>
  <c r="CO94" i="3"/>
  <c r="DH112" i="3"/>
  <c r="CO123" i="3"/>
  <c r="CQ140" i="3"/>
  <c r="CO21" i="3"/>
  <c r="AG134" i="3"/>
  <c r="BS139" i="3"/>
  <c r="CS141" i="3"/>
  <c r="CU134" i="3"/>
  <c r="CO68" i="3"/>
  <c r="BR114" i="3"/>
  <c r="CN114" i="3" s="1"/>
  <c r="BC141" i="3"/>
  <c r="BC93" i="3"/>
  <c r="AB20" i="3"/>
  <c r="DH60" i="3"/>
  <c r="BR37" i="3"/>
  <c r="CN37" i="3" s="1"/>
  <c r="G20" i="3"/>
  <c r="BS144" i="3"/>
  <c r="AZ138" i="3"/>
  <c r="AX8" i="3"/>
  <c r="BK142" i="3"/>
  <c r="AX142" i="3" s="1"/>
  <c r="AX125" i="3"/>
  <c r="BK132" i="3"/>
  <c r="BK134" i="3" s="1"/>
  <c r="BS132" i="3"/>
  <c r="BR113" i="3"/>
  <c r="CN113" i="3" s="1"/>
  <c r="BB141" i="3"/>
  <c r="BH136" i="3"/>
  <c r="BH143" i="3" s="1"/>
  <c r="BH145" i="3" s="1"/>
  <c r="BH132" i="3"/>
  <c r="BH134" i="3" s="1"/>
  <c r="DG143" i="3"/>
  <c r="DG145" i="3" s="1"/>
  <c r="G139" i="3"/>
  <c r="AZ139" i="3"/>
  <c r="CF143" i="3"/>
  <c r="CF145" i="3" s="1"/>
  <c r="DD143" i="3"/>
  <c r="BM143" i="3"/>
  <c r="DC144" i="3"/>
  <c r="BQ136" i="3"/>
  <c r="BQ132" i="3"/>
  <c r="DH136" i="3"/>
  <c r="CR136" i="3"/>
  <c r="CR143" i="3" s="1"/>
  <c r="CR145" i="3" s="1"/>
  <c r="CR132" i="3"/>
  <c r="CR134" i="3" s="1"/>
  <c r="CQ136" i="3"/>
  <c r="CQ132" i="3"/>
  <c r="CW143" i="3"/>
  <c r="CW145" i="3" s="1"/>
  <c r="DH144" i="3"/>
  <c r="CZ141" i="3"/>
  <c r="BE134" i="3"/>
  <c r="BQ93" i="3"/>
  <c r="AA123" i="3"/>
  <c r="AW123" i="3" s="1"/>
  <c r="BR64" i="3"/>
  <c r="CN64" i="3" s="1"/>
  <c r="BS93" i="3"/>
  <c r="BS60" i="3"/>
  <c r="CQ20" i="3"/>
  <c r="CO5" i="3"/>
  <c r="BR29" i="3"/>
  <c r="CN29" i="3" s="1"/>
  <c r="BQ20" i="3"/>
  <c r="CY136" i="3"/>
  <c r="CY143" i="3" s="1"/>
  <c r="CY145" i="3" s="1"/>
  <c r="CY132" i="3"/>
  <c r="CY134" i="3" s="1"/>
  <c r="AY143" i="3"/>
  <c r="AV134" i="3"/>
  <c r="BS20" i="3"/>
  <c r="AB149" i="3" s="1"/>
  <c r="G140" i="3"/>
  <c r="BG143" i="3"/>
  <c r="BG145" i="3" s="1"/>
  <c r="BU145" i="3"/>
  <c r="DA137" i="3"/>
  <c r="DA132" i="3"/>
  <c r="BJ132" i="3"/>
  <c r="AZ137" i="3"/>
  <c r="BQ137" i="3"/>
  <c r="BA136" i="3"/>
  <c r="BA143" i="3" s="1"/>
  <c r="BA145" i="3" s="1"/>
  <c r="BA132" i="3"/>
  <c r="BA134" i="3" s="1"/>
  <c r="CS138" i="3"/>
  <c r="CO116" i="3"/>
  <c r="CX134" i="3"/>
  <c r="BD136" i="3"/>
  <c r="BD143" i="3" s="1"/>
  <c r="BD145" i="3" s="1"/>
  <c r="BD132" i="3"/>
  <c r="BD134" i="3" s="1"/>
  <c r="BR92" i="3"/>
  <c r="CN92" i="3" s="1"/>
  <c r="AX113" i="3"/>
  <c r="I134" i="3"/>
  <c r="BR77" i="2"/>
  <c r="CN77" i="2" s="1"/>
  <c r="AD146" i="2"/>
  <c r="CE144" i="2"/>
  <c r="CE146" i="2" s="1"/>
  <c r="BR127" i="2"/>
  <c r="CN127" i="2" s="1"/>
  <c r="DB20" i="2"/>
  <c r="AZ137" i="2"/>
  <c r="AX104" i="2"/>
  <c r="BR58" i="2"/>
  <c r="CN58" i="2" s="1"/>
  <c r="CO109" i="2"/>
  <c r="BJ60" i="2"/>
  <c r="U144" i="2"/>
  <c r="U146" i="2" s="1"/>
  <c r="CO132" i="2"/>
  <c r="DC145" i="2"/>
  <c r="CO19" i="2"/>
  <c r="AX143" i="2"/>
  <c r="CO116" i="2"/>
  <c r="CO119" i="2"/>
  <c r="BV144" i="2"/>
  <c r="BV146" i="2" s="1"/>
  <c r="G143" i="2"/>
  <c r="BR84" i="2"/>
  <c r="CN84" i="2" s="1"/>
  <c r="AX127" i="2"/>
  <c r="CO7" i="2"/>
  <c r="AX132" i="2"/>
  <c r="BR108" i="2"/>
  <c r="CN108" i="2" s="1"/>
  <c r="CO90" i="2"/>
  <c r="AX19" i="2"/>
  <c r="BS139" i="2"/>
  <c r="CO6" i="2"/>
  <c r="AX61" i="2"/>
  <c r="BR10" i="2"/>
  <c r="CN10" i="2" s="1"/>
  <c r="BR103" i="2"/>
  <c r="CN103" i="2" s="1"/>
  <c r="AN144" i="2"/>
  <c r="AN146" i="2" s="1"/>
  <c r="CO61" i="2"/>
  <c r="CT20" i="2"/>
  <c r="CO103" i="2"/>
  <c r="CT60" i="2"/>
  <c r="CO118" i="2"/>
  <c r="AZ133" i="2"/>
  <c r="CT140" i="2"/>
  <c r="CO13" i="2"/>
  <c r="BR5" i="2"/>
  <c r="CN5" i="2" s="1"/>
  <c r="CO105" i="2"/>
  <c r="BM144" i="2"/>
  <c r="AX103" i="2"/>
  <c r="BS138" i="2"/>
  <c r="BR107" i="2"/>
  <c r="CN107" i="2" s="1"/>
  <c r="AN135" i="2"/>
  <c r="BC60" i="2"/>
  <c r="AX126" i="2"/>
  <c r="CO143" i="2"/>
  <c r="AA105" i="2"/>
  <c r="AW105" i="2" s="1"/>
  <c r="BJ138" i="2"/>
  <c r="AA107" i="2"/>
  <c r="AW107" i="2" s="1"/>
  <c r="CH144" i="2"/>
  <c r="CH146" i="2" s="1"/>
  <c r="BO144" i="2"/>
  <c r="BO146" i="2" s="1"/>
  <c r="CY137" i="2"/>
  <c r="CY144" i="2" s="1"/>
  <c r="CY146" i="2" s="1"/>
  <c r="CO41" i="2"/>
  <c r="AX34" i="2"/>
  <c r="BR37" i="2"/>
  <c r="CN37" i="2" s="1"/>
  <c r="BS143" i="2"/>
  <c r="AX105" i="2"/>
  <c r="Q144" i="2"/>
  <c r="Q146" i="2" s="1"/>
  <c r="AX109" i="2"/>
  <c r="AX121" i="2"/>
  <c r="U135" i="2"/>
  <c r="AA14" i="2"/>
  <c r="AW14" i="2" s="1"/>
  <c r="BR34" i="2"/>
  <c r="CN34" i="2" s="1"/>
  <c r="BC140" i="2"/>
  <c r="AZ145" i="2"/>
  <c r="R135" i="2"/>
  <c r="BJ140" i="2"/>
  <c r="AX119" i="2"/>
  <c r="BG144" i="2"/>
  <c r="BG146" i="2" s="1"/>
  <c r="BK133" i="2"/>
  <c r="AB138" i="2"/>
  <c r="AA56" i="2"/>
  <c r="AW56" i="2" s="1"/>
  <c r="DH141" i="2"/>
  <c r="DE140" i="2"/>
  <c r="DE144" i="2" s="1"/>
  <c r="DE146" i="2" s="1"/>
  <c r="BD133" i="2"/>
  <c r="BK20" i="2"/>
  <c r="CQ141" i="2"/>
  <c r="AX114" i="2"/>
  <c r="BJ142" i="2"/>
  <c r="CO34" i="2"/>
  <c r="AQ144" i="2"/>
  <c r="AQ146" i="2" s="1"/>
  <c r="CS93" i="2"/>
  <c r="CO52" i="2"/>
  <c r="DH139" i="2"/>
  <c r="CO8" i="2"/>
  <c r="AR146" i="2"/>
  <c r="CP113" i="2"/>
  <c r="CP135" i="2" s="1"/>
  <c r="I144" i="2"/>
  <c r="I146" i="2" s="1"/>
  <c r="BS142" i="2"/>
  <c r="BJ133" i="2"/>
  <c r="BP140" i="2"/>
  <c r="BP144" i="2" s="1"/>
  <c r="BP146" i="2" s="1"/>
  <c r="BQ60" i="2"/>
  <c r="AG144" i="2"/>
  <c r="AG146" i="2" s="1"/>
  <c r="BI93" i="2"/>
  <c r="AO144" i="2"/>
  <c r="AO146" i="2" s="1"/>
  <c r="CQ20" i="2"/>
  <c r="AZ139" i="2"/>
  <c r="BH133" i="2"/>
  <c r="BH135" i="2" s="1"/>
  <c r="CO126" i="2"/>
  <c r="CS142" i="2"/>
  <c r="DG60" i="2"/>
  <c r="DG135" i="2" s="1"/>
  <c r="G140" i="2"/>
  <c r="AB139" i="2"/>
  <c r="AA42" i="2"/>
  <c r="AW42" i="2" s="1"/>
  <c r="BR97" i="2"/>
  <c r="CN97" i="2" s="1"/>
  <c r="AA45" i="2"/>
  <c r="AW45" i="2" s="1"/>
  <c r="DH140" i="2"/>
  <c r="AX40" i="2"/>
  <c r="AZ20" i="2"/>
  <c r="BY135" i="2"/>
  <c r="AX9" i="2"/>
  <c r="BQ93" i="2"/>
  <c r="BH137" i="2"/>
  <c r="BH144" i="2" s="1"/>
  <c r="BH146" i="2" s="1"/>
  <c r="DA142" i="2"/>
  <c r="AX23" i="2"/>
  <c r="AB145" i="2"/>
  <c r="BL140" i="2"/>
  <c r="BL144" i="2" s="1"/>
  <c r="CH135" i="2"/>
  <c r="CF135" i="2"/>
  <c r="AB20" i="2"/>
  <c r="AB142" i="2"/>
  <c r="AZ113" i="2"/>
  <c r="DH113" i="2"/>
  <c r="CX133" i="2"/>
  <c r="CX135" i="2" s="1"/>
  <c r="AA123" i="2"/>
  <c r="AW123" i="2" s="1"/>
  <c r="BP135" i="2"/>
  <c r="AX65" i="2"/>
  <c r="CS133" i="2"/>
  <c r="CO107" i="2"/>
  <c r="BB141" i="2"/>
  <c r="CO5" i="2"/>
  <c r="CI146" i="2"/>
  <c r="BQ138" i="2"/>
  <c r="CO106" i="2"/>
  <c r="AA130" i="2"/>
  <c r="AW130" i="2" s="1"/>
  <c r="AX125" i="2"/>
  <c r="AX91" i="2"/>
  <c r="BR43" i="2"/>
  <c r="CN43" i="2" s="1"/>
  <c r="CO23" i="2"/>
  <c r="CE135" i="2"/>
  <c r="DG140" i="2"/>
  <c r="DG144" i="2" s="1"/>
  <c r="DG146" i="2" s="1"/>
  <c r="K144" i="2"/>
  <c r="K146" i="2" s="1"/>
  <c r="BQ141" i="2"/>
  <c r="DH20" i="2"/>
  <c r="CS20" i="2"/>
  <c r="AQ135" i="2"/>
  <c r="CO73" i="2"/>
  <c r="BD144" i="2"/>
  <c r="BD146" i="2" s="1"/>
  <c r="BQ133" i="2"/>
  <c r="CV144" i="2"/>
  <c r="CV146" i="2" s="1"/>
  <c r="AX82" i="2"/>
  <c r="BL133" i="2"/>
  <c r="CQ113" i="2"/>
  <c r="AX118" i="2"/>
  <c r="BL60" i="2"/>
  <c r="BU146" i="2"/>
  <c r="AA6" i="2"/>
  <c r="AW6" i="2" s="1"/>
  <c r="AX66" i="2"/>
  <c r="CV135" i="2"/>
  <c r="BQ139" i="2"/>
  <c r="AE135" i="2"/>
  <c r="DB133" i="2"/>
  <c r="V146" i="2"/>
  <c r="DH138" i="2"/>
  <c r="CP145" i="2"/>
  <c r="AX98" i="2"/>
  <c r="BO133" i="2"/>
  <c r="L144" i="2"/>
  <c r="L146" i="2" s="1"/>
  <c r="AA25" i="2"/>
  <c r="AW25" i="2" s="1"/>
  <c r="CF144" i="2"/>
  <c r="CF146" i="2" s="1"/>
  <c r="H146" i="2"/>
  <c r="BL113" i="2"/>
  <c r="CO91" i="2"/>
  <c r="CQ145" i="2"/>
  <c r="L135" i="2"/>
  <c r="BQ137" i="2"/>
  <c r="AV135" i="2"/>
  <c r="AX13" i="2"/>
  <c r="BX144" i="2"/>
  <c r="BX146" i="2" s="1"/>
  <c r="CR144" i="2"/>
  <c r="CR146" i="2" s="1"/>
  <c r="DF135" i="2"/>
  <c r="BX135" i="2"/>
  <c r="BR101" i="2"/>
  <c r="CN101" i="2" s="1"/>
  <c r="AX106" i="2"/>
  <c r="AX75" i="2"/>
  <c r="AA84" i="2"/>
  <c r="AW84" i="2" s="1"/>
  <c r="CO100" i="2"/>
  <c r="BR40" i="2"/>
  <c r="CN40" i="2" s="1"/>
  <c r="DA141" i="2"/>
  <c r="BR36" i="2"/>
  <c r="CN36" i="2" s="1"/>
  <c r="AX7" i="2"/>
  <c r="CO66" i="2"/>
  <c r="G60" i="2"/>
  <c r="BS141" i="2"/>
  <c r="G137" i="2"/>
  <c r="G133" i="2"/>
  <c r="AA90" i="2"/>
  <c r="AW90" i="2" s="1"/>
  <c r="AX84" i="2"/>
  <c r="BB145" i="2"/>
  <c r="AX116" i="2"/>
  <c r="BS137" i="2"/>
  <c r="AA103" i="2"/>
  <c r="AW103" i="2" s="1"/>
  <c r="CO30" i="2"/>
  <c r="DD144" i="2"/>
  <c r="AB143" i="2"/>
  <c r="AP144" i="2"/>
  <c r="AP146" i="2" s="1"/>
  <c r="BS145" i="2"/>
  <c r="AY145" i="2"/>
  <c r="DB144" i="2"/>
  <c r="DB146" i="2" s="1"/>
  <c r="DH137" i="2"/>
  <c r="DH133" i="2"/>
  <c r="DA133" i="2"/>
  <c r="AA82" i="2"/>
  <c r="AW82" i="2" s="1"/>
  <c r="BR130" i="2"/>
  <c r="CN130" i="2" s="1"/>
  <c r="CM144" i="2"/>
  <c r="CM146" i="2" s="1"/>
  <c r="AA49" i="2"/>
  <c r="AW49" i="2" s="1"/>
  <c r="CO65" i="2"/>
  <c r="AA59" i="2"/>
  <c r="AW59" i="2" s="1"/>
  <c r="CZ140" i="2"/>
  <c r="CZ144" i="2" s="1"/>
  <c r="CZ146" i="2" s="1"/>
  <c r="BR68" i="2"/>
  <c r="CN68" i="2" s="1"/>
  <c r="BQ140" i="2"/>
  <c r="AA50" i="2"/>
  <c r="AW50" i="2" s="1"/>
  <c r="AA40" i="2"/>
  <c r="AW40" i="2" s="1"/>
  <c r="AA124" i="2"/>
  <c r="AW124" i="2" s="1"/>
  <c r="BC93" i="2"/>
  <c r="BC142" i="2"/>
  <c r="AA128" i="2"/>
  <c r="AW128" i="2" s="1"/>
  <c r="CU144" i="2"/>
  <c r="CU146" i="2" s="1"/>
  <c r="AX41" i="2"/>
  <c r="BJ93" i="2"/>
  <c r="AB141" i="2"/>
  <c r="AA57" i="2"/>
  <c r="AW57" i="2" s="1"/>
  <c r="AX5" i="2"/>
  <c r="CS139" i="2"/>
  <c r="G141" i="2"/>
  <c r="BL145" i="2"/>
  <c r="AA76" i="2"/>
  <c r="AW76" i="2" s="1"/>
  <c r="BR63" i="2"/>
  <c r="CN63" i="2" s="1"/>
  <c r="BR109" i="2"/>
  <c r="CN109" i="2" s="1"/>
  <c r="AX49" i="2"/>
  <c r="AE144" i="2"/>
  <c r="AE146" i="2" s="1"/>
  <c r="AB137" i="2"/>
  <c r="CO121" i="2"/>
  <c r="CS141" i="2"/>
  <c r="AA23" i="2"/>
  <c r="AW23" i="2" s="1"/>
  <c r="BR90" i="2"/>
  <c r="CN90" i="2" s="1"/>
  <c r="AB60" i="2"/>
  <c r="BN140" i="2"/>
  <c r="BN144" i="2" s="1"/>
  <c r="BN146" i="2" s="1"/>
  <c r="BN60" i="2"/>
  <c r="BN135" i="2" s="1"/>
  <c r="AA121" i="2"/>
  <c r="AW121" i="2" s="1"/>
  <c r="BR71" i="2"/>
  <c r="CN71" i="2" s="1"/>
  <c r="BQ142" i="2"/>
  <c r="AA117" i="2"/>
  <c r="AW117" i="2" s="1"/>
  <c r="CZ93" i="2"/>
  <c r="CZ135" i="2" s="1"/>
  <c r="AZ140" i="2"/>
  <c r="AZ60" i="2"/>
  <c r="AA30" i="2"/>
  <c r="AW30" i="2" s="1"/>
  <c r="BR9" i="2"/>
  <c r="CN9" i="2" s="1"/>
  <c r="BR30" i="2"/>
  <c r="CN30" i="2" s="1"/>
  <c r="BG133" i="2"/>
  <c r="BG135" i="2" s="1"/>
  <c r="BR31" i="2"/>
  <c r="CN31" i="2" s="1"/>
  <c r="AA31" i="2"/>
  <c r="AW31" i="2" s="1"/>
  <c r="CO39" i="2"/>
  <c r="CO9" i="2"/>
  <c r="DC60" i="2"/>
  <c r="BR85" i="2"/>
  <c r="CN85" i="2" s="1"/>
  <c r="K135" i="2"/>
  <c r="CQ140" i="2"/>
  <c r="CQ60" i="2"/>
  <c r="CO21" i="2"/>
  <c r="DC141" i="2"/>
  <c r="DC140" i="2"/>
  <c r="DF144" i="2"/>
  <c r="DF146" i="2" s="1"/>
  <c r="AB140" i="2"/>
  <c r="DD145" i="2"/>
  <c r="DD113" i="2"/>
  <c r="DD135" i="2" s="1"/>
  <c r="BR118" i="2"/>
  <c r="CN118" i="2" s="1"/>
  <c r="AA116" i="2"/>
  <c r="AW116" i="2" s="1"/>
  <c r="CW137" i="2"/>
  <c r="CW144" i="2" s="1"/>
  <c r="CW146" i="2" s="1"/>
  <c r="CW133" i="2"/>
  <c r="CW135" i="2" s="1"/>
  <c r="BE137" i="2"/>
  <c r="BE144" i="2" s="1"/>
  <c r="BE146" i="2" s="1"/>
  <c r="BE133" i="2"/>
  <c r="BE135" i="2" s="1"/>
  <c r="AA96" i="2"/>
  <c r="AW96" i="2" s="1"/>
  <c r="AA106" i="2"/>
  <c r="AW106" i="2" s="1"/>
  <c r="BB93" i="2"/>
  <c r="CS113" i="2"/>
  <c r="AA102" i="2"/>
  <c r="AW102" i="2" s="1"/>
  <c r="DH60" i="2"/>
  <c r="BV135" i="2"/>
  <c r="DA60" i="2"/>
  <c r="AY113" i="2"/>
  <c r="AY135" i="2" s="1"/>
  <c r="AA114" i="2"/>
  <c r="AW114" i="2" s="1"/>
  <c r="BR52" i="2"/>
  <c r="CN52" i="2" s="1"/>
  <c r="AH135" i="2"/>
  <c r="AA32" i="2"/>
  <c r="AW32" i="2" s="1"/>
  <c r="BR24" i="2"/>
  <c r="CN24" i="2" s="1"/>
  <c r="AA9" i="2"/>
  <c r="AW9" i="2" s="1"/>
  <c r="BC20" i="2"/>
  <c r="BB20" i="2"/>
  <c r="BM145" i="2"/>
  <c r="BM113" i="2"/>
  <c r="BM135" i="2" s="1"/>
  <c r="CQ139" i="2"/>
  <c r="G93" i="2"/>
  <c r="BR125" i="2"/>
  <c r="CN125" i="2" s="1"/>
  <c r="AA132" i="2"/>
  <c r="AW132" i="2" s="1"/>
  <c r="AA91" i="2"/>
  <c r="AW91" i="2" s="1"/>
  <c r="BK144" i="2"/>
  <c r="BK146" i="2" s="1"/>
  <c r="BR95" i="2"/>
  <c r="CN95" i="2" s="1"/>
  <c r="BS113" i="2"/>
  <c r="G139" i="2"/>
  <c r="AY144" i="2"/>
  <c r="DC133" i="2"/>
  <c r="CY133" i="2"/>
  <c r="CY135" i="2" s="1"/>
  <c r="AX115" i="2"/>
  <c r="AA71" i="2"/>
  <c r="AW71" i="2" s="1"/>
  <c r="AA64" i="2"/>
  <c r="AW64" i="2" s="1"/>
  <c r="BR7" i="2"/>
  <c r="CN7" i="2" s="1"/>
  <c r="BS20" i="2"/>
  <c r="CG144" i="2"/>
  <c r="CG146" i="2" s="1"/>
  <c r="CP144" i="2"/>
  <c r="BQ145" i="2"/>
  <c r="AZ138" i="2"/>
  <c r="AX117" i="2"/>
  <c r="DH145" i="2"/>
  <c r="G145" i="2"/>
  <c r="G113" i="2"/>
  <c r="DA138" i="2"/>
  <c r="BR115" i="2"/>
  <c r="CN115" i="2" s="1"/>
  <c r="CQ138" i="2"/>
  <c r="DC113" i="2"/>
  <c r="AA125" i="2"/>
  <c r="AW125" i="2" s="1"/>
  <c r="AA118" i="2"/>
  <c r="AW118" i="2" s="1"/>
  <c r="BR69" i="2"/>
  <c r="CN69" i="2" s="1"/>
  <c r="AA69" i="2"/>
  <c r="AW69" i="2" s="1"/>
  <c r="BQ113" i="2"/>
  <c r="AA67" i="2"/>
  <c r="AW67" i="2" s="1"/>
  <c r="BR67" i="2"/>
  <c r="CN67" i="2" s="1"/>
  <c r="AA101" i="2"/>
  <c r="AW101" i="2" s="1"/>
  <c r="BR121" i="2"/>
  <c r="CN121" i="2" s="1"/>
  <c r="BB142" i="2"/>
  <c r="AA39" i="2"/>
  <c r="AW39" i="2" s="1"/>
  <c r="BD135" i="2"/>
  <c r="AA97" i="2"/>
  <c r="AW97" i="2" s="1"/>
  <c r="CU135" i="2"/>
  <c r="AA86" i="2"/>
  <c r="AW86" i="2" s="1"/>
  <c r="BI60" i="2"/>
  <c r="BS60" i="2"/>
  <c r="BR21" i="2"/>
  <c r="CN21" i="2" s="1"/>
  <c r="BR54" i="2"/>
  <c r="CN54" i="2" s="1"/>
  <c r="I135" i="2"/>
  <c r="CM135" i="2"/>
  <c r="AO135" i="2"/>
  <c r="CO15" i="2"/>
  <c r="AA52" i="2"/>
  <c r="AW52" i="2" s="1"/>
  <c r="BC141" i="2"/>
  <c r="BR8" i="2"/>
  <c r="CN8" i="2" s="1"/>
  <c r="AB113" i="2"/>
  <c r="AA95" i="2"/>
  <c r="AW95" i="2" s="1"/>
  <c r="BO135" i="2"/>
  <c r="AA66" i="2"/>
  <c r="AW66" i="2" s="1"/>
  <c r="G142" i="2"/>
  <c r="BR105" i="2"/>
  <c r="CN105" i="2" s="1"/>
  <c r="CQ137" i="2"/>
  <c r="CQ133" i="2"/>
  <c r="CO114" i="2"/>
  <c r="DA93" i="2"/>
  <c r="AA104" i="2"/>
  <c r="AW104" i="2" s="1"/>
  <c r="BR28" i="2"/>
  <c r="CN28" i="2" s="1"/>
  <c r="BR59" i="2"/>
  <c r="CN59" i="2" s="1"/>
  <c r="BR26" i="2"/>
  <c r="CN26" i="2" s="1"/>
  <c r="AV144" i="2"/>
  <c r="AV146" i="2" s="1"/>
  <c r="BR91" i="2"/>
  <c r="CN91" i="2" s="1"/>
  <c r="BR117" i="2"/>
  <c r="CN117" i="2" s="1"/>
  <c r="BB133" i="2"/>
  <c r="BR110" i="2"/>
  <c r="CN110" i="2" s="1"/>
  <c r="CO117" i="2"/>
  <c r="AA115" i="2"/>
  <c r="AW115" i="2" s="1"/>
  <c r="BR111" i="2"/>
  <c r="CN111" i="2" s="1"/>
  <c r="BR73" i="2"/>
  <c r="CN73" i="2" s="1"/>
  <c r="AA8" i="2"/>
  <c r="AW8" i="2" s="1"/>
  <c r="CX144" i="2"/>
  <c r="CX146" i="2" s="1"/>
  <c r="BA133" i="2"/>
  <c r="BA135" i="2" s="1"/>
  <c r="BA137" i="2"/>
  <c r="AA119" i="2"/>
  <c r="AW119" i="2" s="1"/>
  <c r="AA127" i="2"/>
  <c r="AW127" i="2" s="1"/>
  <c r="BR89" i="2"/>
  <c r="CN89" i="2" s="1"/>
  <c r="AA58" i="2"/>
  <c r="AW58" i="2" s="1"/>
  <c r="AA33" i="2"/>
  <c r="AW33" i="2" s="1"/>
  <c r="AA126" i="2"/>
  <c r="AW126" i="2" s="1"/>
  <c r="BS133" i="2"/>
  <c r="BR114" i="2"/>
  <c r="CN114" i="2" s="1"/>
  <c r="BR116" i="2"/>
  <c r="CN116" i="2" s="1"/>
  <c r="Z144" i="2"/>
  <c r="Z146" i="2" s="1"/>
  <c r="CO115" i="2"/>
  <c r="BR106" i="2"/>
  <c r="CN106" i="2" s="1"/>
  <c r="BF133" i="2"/>
  <c r="BF135" i="2" s="1"/>
  <c r="BF137" i="2"/>
  <c r="BF144" i="2" s="1"/>
  <c r="BF146" i="2" s="1"/>
  <c r="G138" i="2"/>
  <c r="AA98" i="2"/>
  <c r="AW98" i="2" s="1"/>
  <c r="AX100" i="2"/>
  <c r="BR112" i="2"/>
  <c r="CN112" i="2" s="1"/>
  <c r="BR76" i="2"/>
  <c r="CN76" i="2" s="1"/>
  <c r="BR66" i="2"/>
  <c r="CN66" i="2" s="1"/>
  <c r="AA100" i="2"/>
  <c r="AW100" i="2" s="1"/>
  <c r="BR104" i="2"/>
  <c r="CN104" i="2" s="1"/>
  <c r="DH142" i="2"/>
  <c r="DH93" i="2"/>
  <c r="AA70" i="2"/>
  <c r="AW70" i="2" s="1"/>
  <c r="AB93" i="2"/>
  <c r="BR53" i="2"/>
  <c r="CN53" i="2" s="1"/>
  <c r="AB133" i="2"/>
  <c r="CT142" i="2"/>
  <c r="CT93" i="2"/>
  <c r="BI140" i="2"/>
  <c r="BI144" i="2" s="1"/>
  <c r="BI146" i="2" s="1"/>
  <c r="BS140" i="2"/>
  <c r="AA28" i="2"/>
  <c r="AW28" i="2" s="1"/>
  <c r="BR17" i="2"/>
  <c r="CN17" i="2" s="1"/>
  <c r="AG135" i="2"/>
  <c r="BR18" i="2"/>
  <c r="CN18" i="2" s="1"/>
  <c r="BQ20" i="2"/>
  <c r="BB139" i="2"/>
  <c r="AX8" i="2"/>
  <c r="G20" i="2"/>
  <c r="BR78" i="2"/>
  <c r="CN78" i="2" s="1"/>
  <c r="BS93" i="2"/>
  <c r="Z135" i="2"/>
  <c r="BR5" i="1"/>
  <c r="CN5" i="1" s="1"/>
  <c r="AA37" i="1"/>
  <c r="AW37" i="1" s="1"/>
  <c r="CS66" i="1"/>
  <c r="BS66" i="1"/>
  <c r="CI145" i="1"/>
  <c r="CI113" i="1"/>
  <c r="CI135" i="1" s="1"/>
  <c r="BS95" i="1"/>
  <c r="AZ120" i="1"/>
  <c r="AX120" i="1" s="1"/>
  <c r="AB120" i="1"/>
  <c r="CG141" i="1"/>
  <c r="CG20" i="1"/>
  <c r="BR16" i="1"/>
  <c r="CN16" i="1" s="1"/>
  <c r="DJ16" i="1"/>
  <c r="DJ18" i="1"/>
  <c r="AA18" i="1"/>
  <c r="AW18" i="1" s="1"/>
  <c r="AX22" i="1"/>
  <c r="DK22" i="1" s="1"/>
  <c r="BQ36" i="1"/>
  <c r="AX36" i="1" s="1"/>
  <c r="AB36" i="1"/>
  <c r="AA43" i="1"/>
  <c r="AW43" i="1" s="1"/>
  <c r="BB71" i="1"/>
  <c r="AB71" i="1"/>
  <c r="AX73" i="1"/>
  <c r="CS80" i="1"/>
  <c r="CO80" i="1" s="1"/>
  <c r="BS80" i="1"/>
  <c r="BC141" i="1"/>
  <c r="BC20" i="1"/>
  <c r="AX4" i="1"/>
  <c r="CW141" i="1"/>
  <c r="DF141" i="1"/>
  <c r="DF20" i="1"/>
  <c r="BR6" i="1"/>
  <c r="CN6" i="1" s="1"/>
  <c r="AB11" i="1"/>
  <c r="AZ11" i="1"/>
  <c r="AX11" i="1" s="1"/>
  <c r="BB18" i="1"/>
  <c r="AX18" i="1" s="1"/>
  <c r="DK18" i="1" s="1"/>
  <c r="CS18" i="1"/>
  <c r="CO18" i="1" s="1"/>
  <c r="DL18" i="1" s="1"/>
  <c r="BB19" i="1"/>
  <c r="CS19" i="1"/>
  <c r="CO19" i="1" s="1"/>
  <c r="DL19" i="1" s="1"/>
  <c r="AZ24" i="1"/>
  <c r="AB24" i="1"/>
  <c r="BL31" i="1"/>
  <c r="AX31" i="1" s="1"/>
  <c r="DK31" i="1" s="1"/>
  <c r="G31" i="1"/>
  <c r="DC31" i="1"/>
  <c r="BR44" i="1"/>
  <c r="CN44" i="1" s="1"/>
  <c r="CO46" i="1"/>
  <c r="AA74" i="1"/>
  <c r="AW74" i="1" s="1"/>
  <c r="DJ102" i="1"/>
  <c r="AA102" i="1"/>
  <c r="AW102" i="1" s="1"/>
  <c r="AA15" i="1"/>
  <c r="AW15" i="1" s="1"/>
  <c r="BL141" i="1"/>
  <c r="BL20" i="1"/>
  <c r="AA10" i="1"/>
  <c r="AW10" i="1" s="1"/>
  <c r="CV140" i="1"/>
  <c r="CV60" i="1"/>
  <c r="CY20" i="1"/>
  <c r="BF20" i="1"/>
  <c r="BR11" i="1"/>
  <c r="CN11" i="1" s="1"/>
  <c r="BV140" i="1"/>
  <c r="CQ21" i="1"/>
  <c r="BS21" i="1"/>
  <c r="BV60" i="1"/>
  <c r="DB60" i="1"/>
  <c r="AA28" i="1"/>
  <c r="AW28" i="1" s="1"/>
  <c r="BR39" i="1"/>
  <c r="CN39" i="1" s="1"/>
  <c r="DK4" i="1"/>
  <c r="K139" i="1"/>
  <c r="BB8" i="1"/>
  <c r="G8" i="1"/>
  <c r="AH141" i="1"/>
  <c r="AH20" i="1"/>
  <c r="AB13" i="1"/>
  <c r="CW20" i="1"/>
  <c r="AY140" i="1"/>
  <c r="AY60" i="1"/>
  <c r="BR33" i="1"/>
  <c r="CN33" i="1" s="1"/>
  <c r="CF142" i="1"/>
  <c r="DA64" i="1"/>
  <c r="CO64" i="1" s="1"/>
  <c r="BS64" i="1"/>
  <c r="CF93" i="1"/>
  <c r="DK72" i="1"/>
  <c r="DA84" i="1"/>
  <c r="S93" i="1"/>
  <c r="S135" i="1" s="1"/>
  <c r="BJ84" i="1"/>
  <c r="G84" i="1"/>
  <c r="DJ84" i="1" s="1"/>
  <c r="DD140" i="1"/>
  <c r="DD60" i="1"/>
  <c r="DC28" i="1"/>
  <c r="G28" i="1"/>
  <c r="BL48" i="1"/>
  <c r="AX48" i="1" s="1"/>
  <c r="AB48" i="1"/>
  <c r="DC48" i="1"/>
  <c r="CO48" i="1" s="1"/>
  <c r="BS48" i="1"/>
  <c r="CQ142" i="1"/>
  <c r="CQ93" i="1"/>
  <c r="AG142" i="1"/>
  <c r="AG93" i="1"/>
  <c r="AB65" i="1"/>
  <c r="Q137" i="1"/>
  <c r="Q133" i="1"/>
  <c r="BH114" i="1"/>
  <c r="CY114" i="1"/>
  <c r="CP20" i="1"/>
  <c r="AV20" i="1"/>
  <c r="DF140" i="1"/>
  <c r="DF60" i="1"/>
  <c r="AA46" i="1"/>
  <c r="AW46" i="1" s="1"/>
  <c r="AX17" i="1"/>
  <c r="DK17" i="1" s="1"/>
  <c r="CX20" i="1"/>
  <c r="BA140" i="1"/>
  <c r="BA60" i="1"/>
  <c r="BM60" i="1"/>
  <c r="BR32" i="1"/>
  <c r="CN32" i="1" s="1"/>
  <c r="DJ32" i="1"/>
  <c r="AA32" i="1"/>
  <c r="AW32" i="1" s="1"/>
  <c r="BR47" i="1"/>
  <c r="CN47" i="1" s="1"/>
  <c r="AA57" i="1"/>
  <c r="AW57" i="1" s="1"/>
  <c r="BY140" i="1"/>
  <c r="BY60" i="1"/>
  <c r="CT58" i="1"/>
  <c r="CT140" i="1" s="1"/>
  <c r="BS58" i="1"/>
  <c r="DF93" i="1"/>
  <c r="Z141" i="1"/>
  <c r="Z20" i="1"/>
  <c r="DH5" i="1"/>
  <c r="DH141" i="1" s="1"/>
  <c r="BQ5" i="1"/>
  <c r="DL7" i="1"/>
  <c r="BY141" i="1"/>
  <c r="BY20" i="1"/>
  <c r="BS13" i="1"/>
  <c r="V135" i="1"/>
  <c r="V147" i="1" s="1"/>
  <c r="BD141" i="1"/>
  <c r="BD20" i="1"/>
  <c r="BD135" i="1" s="1"/>
  <c r="DA20" i="1"/>
  <c r="AX12" i="1"/>
  <c r="DK12" i="1" s="1"/>
  <c r="CW140" i="1"/>
  <c r="CW60" i="1"/>
  <c r="CO35" i="1"/>
  <c r="DL35" i="1" s="1"/>
  <c r="AA68" i="1"/>
  <c r="AW68" i="1" s="1"/>
  <c r="AA70" i="1"/>
  <c r="AW70" i="1" s="1"/>
  <c r="BG20" i="1"/>
  <c r="BB9" i="1"/>
  <c r="AB9" i="1"/>
  <c r="BA20" i="1"/>
  <c r="BQ7" i="1"/>
  <c r="AX7" i="1" s="1"/>
  <c r="DK7" i="1" s="1"/>
  <c r="AV139" i="1"/>
  <c r="BQ9" i="1"/>
  <c r="CT13" i="1"/>
  <c r="CT141" i="1" s="1"/>
  <c r="DB13" i="1"/>
  <c r="DB141" i="1" s="1"/>
  <c r="M135" i="1"/>
  <c r="M147" i="1" s="1"/>
  <c r="U135" i="1"/>
  <c r="BB60" i="1"/>
  <c r="AX28" i="1"/>
  <c r="DK28" i="1" s="1"/>
  <c r="CO28" i="1"/>
  <c r="DL28" i="1" s="1"/>
  <c r="CO31" i="1"/>
  <c r="DL31" i="1" s="1"/>
  <c r="BJ40" i="1"/>
  <c r="DJ41" i="1"/>
  <c r="BR45" i="1"/>
  <c r="CN45" i="1" s="1"/>
  <c r="BX93" i="1"/>
  <c r="CV145" i="1"/>
  <c r="CV113" i="1"/>
  <c r="DD95" i="1"/>
  <c r="DD108" i="1"/>
  <c r="CO108" i="1" s="1"/>
  <c r="BS108" i="1"/>
  <c r="CO52" i="1"/>
  <c r="AB56" i="1"/>
  <c r="AZ56" i="1"/>
  <c r="AX56" i="1" s="1"/>
  <c r="AV142" i="1"/>
  <c r="AV93" i="1"/>
  <c r="AB83" i="1"/>
  <c r="BB83" i="1"/>
  <c r="AX83" i="1" s="1"/>
  <c r="BA145" i="1"/>
  <c r="BA113" i="1"/>
  <c r="BR96" i="1"/>
  <c r="CN96" i="1" s="1"/>
  <c r="G98" i="1"/>
  <c r="DJ98" i="1" s="1"/>
  <c r="BM98" i="1"/>
  <c r="AX98" i="1" s="1"/>
  <c r="DD98" i="1"/>
  <c r="BR4" i="1"/>
  <c r="CN4" i="1" s="1"/>
  <c r="CU141" i="1"/>
  <c r="CU20" i="1"/>
  <c r="DC141" i="1"/>
  <c r="DC20" i="1"/>
  <c r="BP139" i="1"/>
  <c r="CP139" i="1"/>
  <c r="AA16" i="1"/>
  <c r="AW16" i="1" s="1"/>
  <c r="K20" i="1"/>
  <c r="K135" i="1" s="1"/>
  <c r="BF140" i="1"/>
  <c r="BF60" i="1"/>
  <c r="DC29" i="1"/>
  <c r="CO29" i="1" s="1"/>
  <c r="DL29" i="1" s="1"/>
  <c r="AN140" i="1"/>
  <c r="AN60" i="1"/>
  <c r="AB30" i="1"/>
  <c r="AX37" i="1"/>
  <c r="DK37" i="1" s="1"/>
  <c r="BR37" i="1"/>
  <c r="CN37" i="1" s="1"/>
  <c r="CO38" i="1"/>
  <c r="DK55" i="1"/>
  <c r="AA55" i="1"/>
  <c r="AW55" i="1" s="1"/>
  <c r="L142" i="1"/>
  <c r="G61" i="1"/>
  <c r="CT61" i="1"/>
  <c r="CO61" i="1" s="1"/>
  <c r="L93" i="1"/>
  <c r="BC61" i="1"/>
  <c r="BS72" i="1"/>
  <c r="CS72" i="1"/>
  <c r="CO72" i="1" s="1"/>
  <c r="DJ76" i="1"/>
  <c r="BE113" i="1"/>
  <c r="AA122" i="1"/>
  <c r="AW122" i="1" s="1"/>
  <c r="BJ20" i="1"/>
  <c r="BX141" i="1"/>
  <c r="CS4" i="1"/>
  <c r="CV141" i="1"/>
  <c r="DD141" i="1"/>
  <c r="K141" i="1"/>
  <c r="CQ5" i="1"/>
  <c r="CO5" i="1" s="1"/>
  <c r="DL5" i="1" s="1"/>
  <c r="BB7" i="1"/>
  <c r="BQ139" i="1"/>
  <c r="CR139" i="1"/>
  <c r="CZ139" i="1"/>
  <c r="BB10" i="1"/>
  <c r="AX10" i="1" s="1"/>
  <c r="DK10" i="1" s="1"/>
  <c r="AO141" i="1"/>
  <c r="AO20" i="1"/>
  <c r="CS17" i="1"/>
  <c r="CO17" i="1" s="1"/>
  <c r="DL17" i="1" s="1"/>
  <c r="CV20" i="1"/>
  <c r="BG140" i="1"/>
  <c r="BG60" i="1"/>
  <c r="CU140" i="1"/>
  <c r="CU60" i="1"/>
  <c r="CH60" i="1"/>
  <c r="BR29" i="1"/>
  <c r="CN29" i="1" s="1"/>
  <c r="W140" i="1"/>
  <c r="W144" i="1" s="1"/>
  <c r="W146" i="1" s="1"/>
  <c r="W60" i="1"/>
  <c r="W135" i="1" s="1"/>
  <c r="DE34" i="1"/>
  <c r="CO34" i="1" s="1"/>
  <c r="AA45" i="1"/>
  <c r="AW45" i="1" s="1"/>
  <c r="DK51" i="1"/>
  <c r="AA51" i="1"/>
  <c r="AW51" i="1" s="1"/>
  <c r="BS52" i="1"/>
  <c r="Z60" i="1"/>
  <c r="BC60" i="1"/>
  <c r="BE142" i="1"/>
  <c r="BE93" i="1"/>
  <c r="BM141" i="1"/>
  <c r="BM93" i="1"/>
  <c r="DH68" i="1"/>
  <c r="CO68" i="1" s="1"/>
  <c r="DL68" i="1" s="1"/>
  <c r="BQ68" i="1"/>
  <c r="AX68" i="1" s="1"/>
  <c r="DK68" i="1" s="1"/>
  <c r="DH69" i="1"/>
  <c r="CO69" i="1" s="1"/>
  <c r="BS69" i="1"/>
  <c r="DA70" i="1"/>
  <c r="BB74" i="1"/>
  <c r="AX74" i="1" s="1"/>
  <c r="DK74" i="1" s="1"/>
  <c r="AB82" i="1"/>
  <c r="AX86" i="1"/>
  <c r="CS91" i="1"/>
  <c r="BS91" i="1"/>
  <c r="BG145" i="1"/>
  <c r="BG113" i="1"/>
  <c r="CU145" i="1"/>
  <c r="AX101" i="1"/>
  <c r="DK101" i="1" s="1"/>
  <c r="AA104" i="1"/>
  <c r="AW104" i="1" s="1"/>
  <c r="CU113" i="1"/>
  <c r="BC133" i="1"/>
  <c r="BC137" i="1"/>
  <c r="DB138" i="1"/>
  <c r="CQ124" i="1"/>
  <c r="CO124" i="1" s="1"/>
  <c r="BS124" i="1"/>
  <c r="BK143" i="1"/>
  <c r="AX143" i="1" s="1"/>
  <c r="BQ61" i="1"/>
  <c r="BI145" i="1"/>
  <c r="BI113" i="1"/>
  <c r="BE141" i="1"/>
  <c r="BE20" i="1"/>
  <c r="BM140" i="1"/>
  <c r="BM20" i="1"/>
  <c r="BR14" i="1"/>
  <c r="CN14" i="1" s="1"/>
  <c r="DH33" i="1"/>
  <c r="CO33" i="1" s="1"/>
  <c r="DL33" i="1" s="1"/>
  <c r="CO44" i="1"/>
  <c r="DL44" i="1" s="1"/>
  <c r="BR59" i="1"/>
  <c r="CN59" i="1" s="1"/>
  <c r="DH118" i="1"/>
  <c r="BS118" i="1"/>
  <c r="CQ141" i="1"/>
  <c r="AE139" i="1"/>
  <c r="BK139" i="1"/>
  <c r="Y135" i="1"/>
  <c r="AI147" i="1"/>
  <c r="BX20" i="1"/>
  <c r="BK140" i="1"/>
  <c r="BK60" i="1"/>
  <c r="CQ22" i="1"/>
  <c r="CO22" i="1" s="1"/>
  <c r="BS22" i="1"/>
  <c r="BR25" i="1"/>
  <c r="CN25" i="1" s="1"/>
  <c r="AA29" i="1"/>
  <c r="AW29" i="1" s="1"/>
  <c r="BI30" i="1"/>
  <c r="AA33" i="1"/>
  <c r="AW33" i="1" s="1"/>
  <c r="BR36" i="1"/>
  <c r="CN36" i="1" s="1"/>
  <c r="AA42" i="1"/>
  <c r="AW42" i="1" s="1"/>
  <c r="CO50" i="1"/>
  <c r="AA52" i="1"/>
  <c r="AW52" i="1" s="1"/>
  <c r="BN60" i="1"/>
  <c r="BN135" i="1" s="1"/>
  <c r="AZ142" i="1"/>
  <c r="AZ93" i="1"/>
  <c r="DC93" i="1"/>
  <c r="AA62" i="1"/>
  <c r="AW62" i="1" s="1"/>
  <c r="DK64" i="1"/>
  <c r="AA64" i="1"/>
  <c r="AW64" i="1" s="1"/>
  <c r="BX142" i="1"/>
  <c r="BS65" i="1"/>
  <c r="BJ70" i="1"/>
  <c r="AA75" i="1"/>
  <c r="AW75" i="1" s="1"/>
  <c r="CO76" i="1"/>
  <c r="DL76" i="1" s="1"/>
  <c r="DJ86" i="1"/>
  <c r="AX97" i="1"/>
  <c r="DK97" i="1" s="1"/>
  <c r="DJ99" i="1"/>
  <c r="AA99" i="1"/>
  <c r="AW99" i="1" s="1"/>
  <c r="DJ109" i="1"/>
  <c r="BR109" i="1"/>
  <c r="CN109" i="1" s="1"/>
  <c r="G116" i="1"/>
  <c r="DJ116" i="1" s="1"/>
  <c r="CR116" i="1"/>
  <c r="CO116" i="1" s="1"/>
  <c r="CF140" i="1"/>
  <c r="CF60" i="1"/>
  <c r="CR142" i="1"/>
  <c r="CR93" i="1"/>
  <c r="CP141" i="1"/>
  <c r="BR19" i="1"/>
  <c r="CN19" i="1" s="1"/>
  <c r="CX60" i="1"/>
  <c r="AA39" i="1"/>
  <c r="AW39" i="1" s="1"/>
  <c r="AY142" i="1"/>
  <c r="AY93" i="1"/>
  <c r="BF141" i="1"/>
  <c r="CQ9" i="1"/>
  <c r="AZ9" i="1"/>
  <c r="BB14" i="1"/>
  <c r="AX14" i="1" s="1"/>
  <c r="DK14" i="1" s="1"/>
  <c r="AA17" i="1"/>
  <c r="AW17" i="1" s="1"/>
  <c r="AY141" i="1"/>
  <c r="BG141" i="1"/>
  <c r="BP141" i="1"/>
  <c r="CR141" i="1"/>
  <c r="CR20" i="1"/>
  <c r="AV141" i="1"/>
  <c r="G7" i="1"/>
  <c r="AG139" i="1"/>
  <c r="BD139" i="1"/>
  <c r="BL139" i="1"/>
  <c r="CW139" i="1"/>
  <c r="DF139" i="1"/>
  <c r="CS10" i="1"/>
  <c r="BQ13" i="1"/>
  <c r="BB15" i="1"/>
  <c r="BJ15" i="1"/>
  <c r="I20" i="1"/>
  <c r="Q135" i="1"/>
  <c r="AJ147" i="1"/>
  <c r="AS135" i="1"/>
  <c r="BO20" i="1"/>
  <c r="AA21" i="1"/>
  <c r="AW21" i="1" s="1"/>
  <c r="CR140" i="1"/>
  <c r="CR60" i="1"/>
  <c r="DJ21" i="1"/>
  <c r="CO27" i="1"/>
  <c r="DL27" i="1" s="1"/>
  <c r="BL29" i="1"/>
  <c r="AX29" i="1" s="1"/>
  <c r="DK29" i="1" s="1"/>
  <c r="AX34" i="1"/>
  <c r="BS34" i="1"/>
  <c r="DJ42" i="1"/>
  <c r="CO45" i="1"/>
  <c r="DL45" i="1" s="1"/>
  <c r="BS46" i="1"/>
  <c r="BL49" i="1"/>
  <c r="AB49" i="1"/>
  <c r="AB50" i="1"/>
  <c r="AZ50" i="1"/>
  <c r="AX50" i="1" s="1"/>
  <c r="DH54" i="1"/>
  <c r="BQ54" i="1"/>
  <c r="AX54" i="1" s="1"/>
  <c r="DJ54" i="1"/>
  <c r="BA142" i="1"/>
  <c r="BA93" i="1"/>
  <c r="BP93" i="1"/>
  <c r="DB93" i="1"/>
  <c r="AO93" i="1"/>
  <c r="AO142" i="1"/>
  <c r="BB73" i="1"/>
  <c r="AB73" i="1"/>
  <c r="BQ75" i="1"/>
  <c r="AX75" i="1" s="1"/>
  <c r="DK75" i="1" s="1"/>
  <c r="DJ78" i="1"/>
  <c r="BR78" i="1"/>
  <c r="CN78" i="1" s="1"/>
  <c r="BB81" i="1"/>
  <c r="AX81" i="1" s="1"/>
  <c r="AB81" i="1"/>
  <c r="AX84" i="1"/>
  <c r="BS88" i="1"/>
  <c r="CS88" i="1"/>
  <c r="CO88" i="1" s="1"/>
  <c r="BR97" i="1"/>
  <c r="CN97" i="1" s="1"/>
  <c r="AB98" i="1"/>
  <c r="DJ101" i="1"/>
  <c r="BR101" i="1"/>
  <c r="CN101" i="1" s="1"/>
  <c r="CP137" i="1"/>
  <c r="CP133" i="1"/>
  <c r="BG142" i="1"/>
  <c r="BG93" i="1"/>
  <c r="DK84" i="1"/>
  <c r="AA84" i="1"/>
  <c r="AW84" i="1" s="1"/>
  <c r="CY141" i="1"/>
  <c r="DH20" i="1"/>
  <c r="BV139" i="1"/>
  <c r="BV20" i="1"/>
  <c r="CS14" i="1"/>
  <c r="CO14" i="1" s="1"/>
  <c r="DL14" i="1" s="1"/>
  <c r="BB140" i="1"/>
  <c r="I140" i="1"/>
  <c r="CQ23" i="1"/>
  <c r="CE140" i="1"/>
  <c r="CZ30" i="1"/>
  <c r="CO30" i="1" s="1"/>
  <c r="DL30" i="1" s="1"/>
  <c r="BL44" i="1"/>
  <c r="AX44" i="1" s="1"/>
  <c r="DK44" i="1" s="1"/>
  <c r="G44" i="1"/>
  <c r="BH142" i="1"/>
  <c r="BH93" i="1"/>
  <c r="CZ141" i="1"/>
  <c r="CZ20" i="1"/>
  <c r="BC139" i="1"/>
  <c r="BX139" i="1"/>
  <c r="AZ141" i="1"/>
  <c r="BH141" i="1"/>
  <c r="G5" i="1"/>
  <c r="BE139" i="1"/>
  <c r="BM139" i="1"/>
  <c r="BN139" i="1"/>
  <c r="BN144" i="1" s="1"/>
  <c r="BN146" i="1" s="1"/>
  <c r="CX139" i="1"/>
  <c r="DG139" i="1"/>
  <c r="Z139" i="1"/>
  <c r="DH9" i="1"/>
  <c r="BR10" i="1"/>
  <c r="CN10" i="1" s="1"/>
  <c r="CO16" i="1"/>
  <c r="DL16" i="1" s="1"/>
  <c r="J135" i="1"/>
  <c r="J147" i="1" s="1"/>
  <c r="AK135" i="1"/>
  <c r="AK147" i="1" s="1"/>
  <c r="BP20" i="1"/>
  <c r="DD20" i="1"/>
  <c r="CS140" i="1"/>
  <c r="CS60" i="1"/>
  <c r="AV140" i="1"/>
  <c r="AV60" i="1"/>
  <c r="AB23" i="1"/>
  <c r="BQ23" i="1"/>
  <c r="CQ25" i="1"/>
  <c r="CO25" i="1" s="1"/>
  <c r="DL25" i="1" s="1"/>
  <c r="U140" i="1"/>
  <c r="U60" i="1"/>
  <c r="G27" i="1"/>
  <c r="Z140" i="1"/>
  <c r="DH32" i="1"/>
  <c r="CO32" i="1" s="1"/>
  <c r="DL32" i="1" s="1"/>
  <c r="AA38" i="1"/>
  <c r="AW38" i="1" s="1"/>
  <c r="DA39" i="1"/>
  <c r="CO39" i="1" s="1"/>
  <c r="DL39" i="1" s="1"/>
  <c r="DA40" i="1"/>
  <c r="Y140" i="1"/>
  <c r="DG41" i="1"/>
  <c r="CO41" i="1" s="1"/>
  <c r="BP41" i="1"/>
  <c r="BP140" i="1" s="1"/>
  <c r="G45" i="1"/>
  <c r="DJ45" i="1" s="1"/>
  <c r="BQ49" i="1"/>
  <c r="CO51" i="1"/>
  <c r="AB53" i="1"/>
  <c r="AX58" i="1"/>
  <c r="DK58" i="1" s="1"/>
  <c r="G59" i="1"/>
  <c r="DJ59" i="1" s="1"/>
  <c r="CM93" i="1"/>
  <c r="CW93" i="1"/>
  <c r="BO142" i="1"/>
  <c r="BO93" i="1"/>
  <c r="G67" i="1"/>
  <c r="BR67" i="1" s="1"/>
  <c r="CN67" i="1" s="1"/>
  <c r="DH67" i="1"/>
  <c r="AX69" i="1"/>
  <c r="DK69" i="1" s="1"/>
  <c r="CO74" i="1"/>
  <c r="BR75" i="1"/>
  <c r="CN75" i="1" s="1"/>
  <c r="BS82" i="1"/>
  <c r="DA82" i="1"/>
  <c r="CO82" i="1" s="1"/>
  <c r="CS84" i="1"/>
  <c r="BS84" i="1"/>
  <c r="DJ87" i="1"/>
  <c r="BQ90" i="1"/>
  <c r="AX90" i="1" s="1"/>
  <c r="BB91" i="1"/>
  <c r="AB91" i="1"/>
  <c r="CO92" i="1"/>
  <c r="DL92" i="1" s="1"/>
  <c r="AA95" i="1"/>
  <c r="AW95" i="1" s="1"/>
  <c r="DD96" i="1"/>
  <c r="CO96" i="1" s="1"/>
  <c r="DL96" i="1" s="1"/>
  <c r="G96" i="1"/>
  <c r="DJ96" i="1" s="1"/>
  <c r="AA101" i="1"/>
  <c r="AW101" i="1" s="1"/>
  <c r="BR102" i="1"/>
  <c r="CN102" i="1" s="1"/>
  <c r="DL102" i="1"/>
  <c r="BR105" i="1"/>
  <c r="CN105" i="1" s="1"/>
  <c r="AZ137" i="1"/>
  <c r="BL137" i="1"/>
  <c r="BA141" i="1"/>
  <c r="BI141" i="1"/>
  <c r="DA141" i="1"/>
  <c r="AG141" i="1"/>
  <c r="CM141" i="1"/>
  <c r="I139" i="1"/>
  <c r="AY139" i="1"/>
  <c r="BG139" i="1"/>
  <c r="CQ8" i="1"/>
  <c r="CY139" i="1"/>
  <c r="DH139" i="1"/>
  <c r="AG20" i="1"/>
  <c r="CM20" i="1"/>
  <c r="BH140" i="1"/>
  <c r="BH60" i="1"/>
  <c r="DB140" i="1"/>
  <c r="DH23" i="1"/>
  <c r="AQ140" i="1"/>
  <c r="BL26" i="1"/>
  <c r="L140" i="1"/>
  <c r="G58" i="1"/>
  <c r="AH60" i="1"/>
  <c r="AQ60" i="1"/>
  <c r="CY142" i="1"/>
  <c r="BB65" i="1"/>
  <c r="AX65" i="1" s="1"/>
  <c r="R142" i="1"/>
  <c r="R144" i="1" s="1"/>
  <c r="R146" i="1" s="1"/>
  <c r="R93" i="1"/>
  <c r="R135" i="1" s="1"/>
  <c r="CZ66" i="1"/>
  <c r="CZ142" i="1" s="1"/>
  <c r="BQ69" i="1"/>
  <c r="G69" i="1"/>
  <c r="DK77" i="1"/>
  <c r="BB85" i="1"/>
  <c r="AX85" i="1" s="1"/>
  <c r="AB85" i="1"/>
  <c r="CO87" i="1"/>
  <c r="AX92" i="1"/>
  <c r="DK92" i="1" s="1"/>
  <c r="BF113" i="1"/>
  <c r="CT145" i="1"/>
  <c r="CT113" i="1"/>
  <c r="DB145" i="1"/>
  <c r="DB113" i="1"/>
  <c r="AQ145" i="1"/>
  <c r="AB100" i="1"/>
  <c r="CO104" i="1"/>
  <c r="I145" i="1"/>
  <c r="CQ109" i="1"/>
  <c r="I113" i="1"/>
  <c r="O137" i="1"/>
  <c r="O144" i="1" s="1"/>
  <c r="O146" i="1" s="1"/>
  <c r="O133" i="1"/>
  <c r="O135" i="1" s="1"/>
  <c r="CW114" i="1"/>
  <c r="BF114" i="1"/>
  <c r="BW137" i="1"/>
  <c r="BW144" i="1" s="1"/>
  <c r="BW146" i="1" s="1"/>
  <c r="BS116" i="1"/>
  <c r="CO120" i="1"/>
  <c r="CP138" i="1"/>
  <c r="BQ122" i="1"/>
  <c r="AX122" i="1" s="1"/>
  <c r="DK122" i="1" s="1"/>
  <c r="DH122" i="1"/>
  <c r="CO122" i="1" s="1"/>
  <c r="DL122" i="1" s="1"/>
  <c r="BR131" i="1"/>
  <c r="CN131" i="1" s="1"/>
  <c r="AE140" i="1"/>
  <c r="BD140" i="1"/>
  <c r="BD60" i="1"/>
  <c r="CP140" i="1"/>
  <c r="CX140" i="1"/>
  <c r="CM140" i="1"/>
  <c r="AB34" i="1"/>
  <c r="CJ140" i="1"/>
  <c r="CJ144" i="1" s="1"/>
  <c r="CJ146" i="1" s="1"/>
  <c r="CJ60" i="1"/>
  <c r="CJ135" i="1" s="1"/>
  <c r="BQ40" i="1"/>
  <c r="AB41" i="1"/>
  <c r="CO47" i="1"/>
  <c r="DL47" i="1" s="1"/>
  <c r="AU60" i="1"/>
  <c r="AU135" i="1" s="1"/>
  <c r="Z142" i="1"/>
  <c r="Z93" i="1"/>
  <c r="CU142" i="1"/>
  <c r="DC142" i="1"/>
  <c r="BQ62" i="1"/>
  <c r="AX62" i="1" s="1"/>
  <c r="DK62" i="1" s="1"/>
  <c r="AN142" i="1"/>
  <c r="AN93" i="1"/>
  <c r="AN135" i="1" s="1"/>
  <c r="AX71" i="1"/>
  <c r="CS71" i="1"/>
  <c r="CO71" i="1" s="1"/>
  <c r="DL71" i="1" s="1"/>
  <c r="CS77" i="1"/>
  <c r="CO77" i="1" s="1"/>
  <c r="DL77" i="1" s="1"/>
  <c r="G77" i="1"/>
  <c r="CS83" i="1"/>
  <c r="CO83" i="1" s="1"/>
  <c r="BS83" i="1"/>
  <c r="CU93" i="1"/>
  <c r="BB113" i="1"/>
  <c r="BB145" i="1"/>
  <c r="BJ145" i="1"/>
  <c r="CO97" i="1"/>
  <c r="DL97" i="1" s="1"/>
  <c r="BS103" i="1"/>
  <c r="DC103" i="1"/>
  <c r="CM113" i="1"/>
  <c r="BI137" i="1"/>
  <c r="BI133" i="1"/>
  <c r="AB115" i="1"/>
  <c r="BJ138" i="1"/>
  <c r="CM138" i="1"/>
  <c r="CV133" i="1"/>
  <c r="DL121" i="1"/>
  <c r="L135" i="1"/>
  <c r="AL135" i="1"/>
  <c r="AT135" i="1"/>
  <c r="BE140" i="1"/>
  <c r="CY140" i="1"/>
  <c r="CH140" i="1"/>
  <c r="DC26" i="1"/>
  <c r="CO26" i="1" s="1"/>
  <c r="DL26" i="1" s="1"/>
  <c r="BO140" i="1"/>
  <c r="AO140" i="1"/>
  <c r="CL140" i="1"/>
  <c r="CL144" i="1" s="1"/>
  <c r="CL146" i="1" s="1"/>
  <c r="G43" i="1"/>
  <c r="DJ43" i="1" s="1"/>
  <c r="CZ43" i="1"/>
  <c r="CO43" i="1" s="1"/>
  <c r="DL43" i="1" s="1"/>
  <c r="BS49" i="1"/>
  <c r="BS50" i="1"/>
  <c r="BR53" i="1"/>
  <c r="CN53" i="1" s="1"/>
  <c r="AE60" i="1"/>
  <c r="BK142" i="1"/>
  <c r="BK93" i="1"/>
  <c r="CM142" i="1"/>
  <c r="CV142" i="1"/>
  <c r="CV93" i="1"/>
  <c r="DD142" i="1"/>
  <c r="DD93" i="1"/>
  <c r="AX63" i="1"/>
  <c r="K142" i="1"/>
  <c r="CS65" i="1"/>
  <c r="CO65" i="1" s="1"/>
  <c r="DL73" i="1"/>
  <c r="CO86" i="1"/>
  <c r="DL86" i="1" s="1"/>
  <c r="DK88" i="1"/>
  <c r="V145" i="1"/>
  <c r="BM95" i="1"/>
  <c r="AX95" i="1" s="1"/>
  <c r="G95" i="1"/>
  <c r="BC145" i="1"/>
  <c r="BC113" i="1"/>
  <c r="BK145" i="1"/>
  <c r="BK113" i="1"/>
  <c r="BH113" i="1"/>
  <c r="AA97" i="1"/>
  <c r="AW97" i="1" s="1"/>
  <c r="DD103" i="1"/>
  <c r="BM103" i="1"/>
  <c r="AX103" i="1" s="1"/>
  <c r="G103" i="1"/>
  <c r="DJ103" i="1" s="1"/>
  <c r="AA105" i="1"/>
  <c r="AW105" i="1" s="1"/>
  <c r="AE145" i="1"/>
  <c r="AZ106" i="1"/>
  <c r="AX106" i="1" s="1"/>
  <c r="V113" i="1"/>
  <c r="AQ113" i="1"/>
  <c r="J133" i="1"/>
  <c r="CM133" i="1"/>
  <c r="S133" i="1"/>
  <c r="DA118" i="1"/>
  <c r="S138" i="1"/>
  <c r="G118" i="1"/>
  <c r="DJ118" i="1" s="1"/>
  <c r="CE144" i="1"/>
  <c r="CE146" i="1" s="1"/>
  <c r="BI43" i="1"/>
  <c r="AX43" i="1" s="1"/>
  <c r="DK43" i="1" s="1"/>
  <c r="AX46" i="1"/>
  <c r="DK46" i="1" s="1"/>
  <c r="AO60" i="1"/>
  <c r="AH142" i="1"/>
  <c r="AB61" i="1"/>
  <c r="BD142" i="1"/>
  <c r="BD93" i="1"/>
  <c r="BL142" i="1"/>
  <c r="BL93" i="1"/>
  <c r="CW142" i="1"/>
  <c r="DF142" i="1"/>
  <c r="DL87" i="1"/>
  <c r="CR145" i="1"/>
  <c r="CR113" i="1"/>
  <c r="CZ145" i="1"/>
  <c r="CZ113" i="1"/>
  <c r="CM145" i="1"/>
  <c r="DH98" i="1"/>
  <c r="CO98" i="1" s="1"/>
  <c r="DL98" i="1" s="1"/>
  <c r="AX102" i="1"/>
  <c r="DK102" i="1" s="1"/>
  <c r="AG145" i="1"/>
  <c r="AG113" i="1"/>
  <c r="BS112" i="1"/>
  <c r="CQ112" i="1"/>
  <c r="DA137" i="1"/>
  <c r="AF137" i="1"/>
  <c r="AF144" i="1" s="1"/>
  <c r="AF146" i="1" s="1"/>
  <c r="AF133" i="1"/>
  <c r="AF135" i="1" s="1"/>
  <c r="BC138" i="1"/>
  <c r="AA125" i="1"/>
  <c r="AW125" i="1" s="1"/>
  <c r="Y144" i="1"/>
  <c r="Y146" i="1" s="1"/>
  <c r="DB142" i="1"/>
  <c r="S142" i="1"/>
  <c r="S144" i="1" s="1"/>
  <c r="S146" i="1" s="1"/>
  <c r="BJ91" i="1"/>
  <c r="BJ142" i="1" s="1"/>
  <c r="DA91" i="1"/>
  <c r="CE93" i="1"/>
  <c r="BH145" i="1"/>
  <c r="DA145" i="1"/>
  <c r="Z145" i="1"/>
  <c r="BM101" i="1"/>
  <c r="BM104" i="1"/>
  <c r="AX104" i="1" s="1"/>
  <c r="DK104" i="1" s="1"/>
  <c r="AD113" i="1"/>
  <c r="AD135" i="1" s="1"/>
  <c r="AB106" i="1"/>
  <c r="DD106" i="1"/>
  <c r="AY107" i="1"/>
  <c r="AB107" i="1"/>
  <c r="BM107" i="1"/>
  <c r="AZ110" i="1"/>
  <c r="AX110" i="1" s="1"/>
  <c r="DK110" i="1" s="1"/>
  <c r="AY137" i="1"/>
  <c r="AY133" i="1"/>
  <c r="DH117" i="1"/>
  <c r="CQ120" i="1"/>
  <c r="CQ121" i="1"/>
  <c r="CO121" i="1" s="1"/>
  <c r="AS144" i="1"/>
  <c r="AS146" i="1" s="1"/>
  <c r="BF142" i="1"/>
  <c r="BP142" i="1"/>
  <c r="CP142" i="1"/>
  <c r="CX142" i="1"/>
  <c r="DG142" i="1"/>
  <c r="AB90" i="1"/>
  <c r="AR145" i="1"/>
  <c r="BD145" i="1"/>
  <c r="BD113" i="1"/>
  <c r="CW145" i="1"/>
  <c r="CW113" i="1"/>
  <c r="DF145" i="1"/>
  <c r="DF113" i="1"/>
  <c r="AV145" i="1"/>
  <c r="AV113" i="1"/>
  <c r="U145" i="1"/>
  <c r="U113" i="1"/>
  <c r="DD101" i="1"/>
  <c r="DH105" i="1"/>
  <c r="CO105" i="1" s="1"/>
  <c r="DL105" i="1" s="1"/>
  <c r="BQ105" i="1"/>
  <c r="G108" i="1"/>
  <c r="AA109" i="1"/>
  <c r="AW109" i="1" s="1"/>
  <c r="BD137" i="1"/>
  <c r="BD133" i="1"/>
  <c r="CR114" i="1"/>
  <c r="DB137" i="1"/>
  <c r="BS117" i="1"/>
  <c r="CT138" i="1"/>
  <c r="BR122" i="1"/>
  <c r="CN122" i="1" s="1"/>
  <c r="U138" i="1"/>
  <c r="U144" i="1" s="1"/>
  <c r="U146" i="1" s="1"/>
  <c r="BL124" i="1"/>
  <c r="BL133" i="1" s="1"/>
  <c r="U133" i="1"/>
  <c r="CT133" i="1"/>
  <c r="AD144" i="1"/>
  <c r="BR87" i="1"/>
  <c r="CN87" i="1" s="1"/>
  <c r="BE145" i="1"/>
  <c r="CX145" i="1"/>
  <c r="DG145" i="1"/>
  <c r="CH145" i="1"/>
  <c r="BS100" i="1"/>
  <c r="BU145" i="1"/>
  <c r="BU113" i="1"/>
  <c r="BU135" i="1" s="1"/>
  <c r="CP106" i="1"/>
  <c r="BS111" i="1"/>
  <c r="CQ111" i="1"/>
  <c r="CO111" i="1" s="1"/>
  <c r="CX113" i="1"/>
  <c r="I137" i="1"/>
  <c r="G114" i="1"/>
  <c r="CQ114" i="1"/>
  <c r="AE133" i="1"/>
  <c r="AE137" i="1"/>
  <c r="CS137" i="1"/>
  <c r="AV138" i="1"/>
  <c r="AA124" i="1"/>
  <c r="AW124" i="1" s="1"/>
  <c r="BO138" i="1"/>
  <c r="BO133" i="1"/>
  <c r="G143" i="1"/>
  <c r="DJ143" i="1" s="1"/>
  <c r="DJ126" i="1"/>
  <c r="CY145" i="1"/>
  <c r="BF145" i="1"/>
  <c r="BP113" i="1"/>
  <c r="DH113" i="1"/>
  <c r="CO101" i="1"/>
  <c r="DL101" i="1" s="1"/>
  <c r="AB103" i="1"/>
  <c r="BV145" i="1"/>
  <c r="DD107" i="1"/>
  <c r="CO107" i="1" s="1"/>
  <c r="DL107" i="1" s="1"/>
  <c r="AA110" i="1"/>
  <c r="AW110" i="1" s="1"/>
  <c r="BV113" i="1"/>
  <c r="J137" i="1"/>
  <c r="J144" i="1" s="1"/>
  <c r="J146" i="1" s="1"/>
  <c r="BA114" i="1"/>
  <c r="DD133" i="1"/>
  <c r="AZ117" i="1"/>
  <c r="I138" i="1"/>
  <c r="G117" i="1"/>
  <c r="CQ117" i="1"/>
  <c r="CD133" i="1"/>
  <c r="CD135" i="1" s="1"/>
  <c r="H113" i="1"/>
  <c r="H135" i="1" s="1"/>
  <c r="H147" i="1" s="1"/>
  <c r="AV137" i="1"/>
  <c r="BP133" i="1"/>
  <c r="CZ133" i="1"/>
  <c r="CZ137" i="1"/>
  <c r="AE138" i="1"/>
  <c r="BB138" i="1"/>
  <c r="BK138" i="1"/>
  <c r="CU138" i="1"/>
  <c r="DC138" i="1"/>
  <c r="CO130" i="1"/>
  <c r="AB132" i="1"/>
  <c r="BV133" i="1"/>
  <c r="L144" i="1"/>
  <c r="L146" i="1" s="1"/>
  <c r="AL137" i="1"/>
  <c r="AT144" i="1"/>
  <c r="AT146" i="1" s="1"/>
  <c r="G106" i="1"/>
  <c r="DJ106" i="1" s="1"/>
  <c r="Z137" i="1"/>
  <c r="CU114" i="1"/>
  <c r="BH117" i="1"/>
  <c r="BH138" i="1" s="1"/>
  <c r="Q138" i="1"/>
  <c r="BF138" i="1"/>
  <c r="BQ117" i="1"/>
  <c r="CY117" i="1"/>
  <c r="CY138" i="1" s="1"/>
  <c r="BS123" i="1"/>
  <c r="DH123" i="1"/>
  <c r="CO123" i="1" s="1"/>
  <c r="CK143" i="1"/>
  <c r="BS126" i="1"/>
  <c r="CK133" i="1"/>
  <c r="CK135" i="1" s="1"/>
  <c r="CO131" i="1"/>
  <c r="BK133" i="1"/>
  <c r="DF137" i="1"/>
  <c r="BW133" i="1"/>
  <c r="BW135" i="1" s="1"/>
  <c r="Z138" i="1"/>
  <c r="CR138" i="1"/>
  <c r="CO129" i="1"/>
  <c r="M133" i="1"/>
  <c r="Z133" i="1"/>
  <c r="AV133" i="1"/>
  <c r="V146" i="1"/>
  <c r="AY138" i="1"/>
  <c r="BI138" i="1"/>
  <c r="BV138" i="1"/>
  <c r="CS138" i="1"/>
  <c r="BR119" i="1"/>
  <c r="CN119" i="1" s="1"/>
  <c r="AZ121" i="1"/>
  <c r="AX121" i="1" s="1"/>
  <c r="DK121" i="1" s="1"/>
  <c r="G121" i="1"/>
  <c r="DB143" i="1"/>
  <c r="CO143" i="1" s="1"/>
  <c r="CO126" i="1"/>
  <c r="CC133" i="1"/>
  <c r="CC135" i="1" s="1"/>
  <c r="CC147" i="1" s="1"/>
  <c r="BJ137" i="1"/>
  <c r="N133" i="1"/>
  <c r="N135" i="1" s="1"/>
  <c r="N147" i="1" s="1"/>
  <c r="N137" i="1"/>
  <c r="N144" i="1" s="1"/>
  <c r="N146" i="1" s="1"/>
  <c r="BE114" i="1"/>
  <c r="BM142" i="1"/>
  <c r="P137" i="1"/>
  <c r="P144" i="1" s="1"/>
  <c r="P146" i="1" s="1"/>
  <c r="P133" i="1"/>
  <c r="P135" i="1" s="1"/>
  <c r="P147" i="1" s="1"/>
  <c r="AM133" i="1"/>
  <c r="AM135" i="1" s="1"/>
  <c r="CR115" i="1"/>
  <c r="AO138" i="1"/>
  <c r="BD138" i="1"/>
  <c r="BM138" i="1"/>
  <c r="CV138" i="1"/>
  <c r="CV144" i="1" s="1"/>
  <c r="CV146" i="1" s="1"/>
  <c r="AZ119" i="1"/>
  <c r="AX119" i="1" s="1"/>
  <c r="AZ124" i="1"/>
  <c r="AT143" i="1"/>
  <c r="AB126" i="1"/>
  <c r="CS127" i="1"/>
  <c r="CO127" i="1" s="1"/>
  <c r="DL127" i="1" s="1"/>
  <c r="BM137" i="1"/>
  <c r="CZ138" i="1"/>
  <c r="BB127" i="1"/>
  <c r="AX127" i="1" s="1"/>
  <c r="DK127" i="1" s="1"/>
  <c r="CH141" i="1"/>
  <c r="CH133" i="1"/>
  <c r="AB128" i="1"/>
  <c r="BB128" i="1"/>
  <c r="AX128" i="1" s="1"/>
  <c r="AJ144" i="1"/>
  <c r="AJ146" i="1" s="1"/>
  <c r="AR144" i="1"/>
  <c r="DD138" i="1"/>
  <c r="BS129" i="1"/>
  <c r="BB132" i="1"/>
  <c r="AX132" i="1" s="1"/>
  <c r="CS132" i="1"/>
  <c r="CO132" i="1" s="1"/>
  <c r="DL132" i="1" s="1"/>
  <c r="CI144" i="1"/>
  <c r="CX138" i="1"/>
  <c r="DG138" i="1"/>
  <c r="AZ118" i="1"/>
  <c r="AX118" i="1" s="1"/>
  <c r="H144" i="1"/>
  <c r="H146" i="1" s="1"/>
  <c r="AI144" i="1"/>
  <c r="AI146" i="1" s="1"/>
  <c r="DL38" i="1" l="1"/>
  <c r="BC134" i="3"/>
  <c r="CE135" i="1"/>
  <c r="DK59" i="1"/>
  <c r="CO90" i="1"/>
  <c r="DL90" i="1" s="1"/>
  <c r="DL62" i="1"/>
  <c r="DA138" i="1"/>
  <c r="CO125" i="1"/>
  <c r="DL125" i="1" s="1"/>
  <c r="BG137" i="1"/>
  <c r="BG144" i="1" s="1"/>
  <c r="BG146" i="1" s="1"/>
  <c r="AF147" i="1"/>
  <c r="DL36" i="1"/>
  <c r="AX115" i="1"/>
  <c r="DK115" i="1" s="1"/>
  <c r="CT60" i="1"/>
  <c r="DL104" i="1"/>
  <c r="DL89" i="1"/>
  <c r="DK79" i="1"/>
  <c r="DH93" i="1"/>
  <c r="BR63" i="1"/>
  <c r="CN63" i="1" s="1"/>
  <c r="DL12" i="1"/>
  <c r="AX116" i="1"/>
  <c r="DK118" i="1"/>
  <c r="BL113" i="1"/>
  <c r="BK141" i="1"/>
  <c r="BK144" i="1" s="1"/>
  <c r="BK146" i="1" s="1"/>
  <c r="DL99" i="1"/>
  <c r="DL55" i="1"/>
  <c r="DG140" i="1"/>
  <c r="DG144" i="1" s="1"/>
  <c r="DG146" i="1" s="1"/>
  <c r="BL145" i="1"/>
  <c r="BR62" i="1"/>
  <c r="CN62" i="1" s="1"/>
  <c r="CZ60" i="1"/>
  <c r="CZ135" i="1" s="1"/>
  <c r="AX13" i="1"/>
  <c r="DK119" i="1"/>
  <c r="DL130" i="1"/>
  <c r="DL56" i="1"/>
  <c r="AR146" i="1"/>
  <c r="AR147" i="1" s="1"/>
  <c r="BW147" i="1"/>
  <c r="DL41" i="1"/>
  <c r="DK86" i="1"/>
  <c r="BL134" i="3"/>
  <c r="CO8" i="1"/>
  <c r="DL8" i="1" s="1"/>
  <c r="BX144" i="1"/>
  <c r="BX146" i="1" s="1"/>
  <c r="AZ134" i="3"/>
  <c r="DL131" i="1"/>
  <c r="AH144" i="1"/>
  <c r="AH146" i="1" s="1"/>
  <c r="AM147" i="1"/>
  <c r="AQ135" i="1"/>
  <c r="AQ147" i="1" s="1"/>
  <c r="DL51" i="1"/>
  <c r="CD144" i="1"/>
  <c r="CD146" i="1" s="1"/>
  <c r="CD147" i="1" s="1"/>
  <c r="BQ138" i="1"/>
  <c r="DK131" i="1"/>
  <c r="BS138" i="1"/>
  <c r="CH135" i="1"/>
  <c r="DK116" i="1"/>
  <c r="BB20" i="1"/>
  <c r="CH144" i="1"/>
  <c r="CH146" i="1" s="1"/>
  <c r="BS20" i="1"/>
  <c r="BJ143" i="3"/>
  <c r="BJ145" i="3" s="1"/>
  <c r="DK112" i="1"/>
  <c r="AA112" i="1"/>
  <c r="AW112" i="1" s="1"/>
  <c r="AX66" i="1"/>
  <c r="DK66" i="1" s="1"/>
  <c r="BI142" i="1"/>
  <c r="BR99" i="1"/>
  <c r="CN99" i="1" s="1"/>
  <c r="CZ134" i="3"/>
  <c r="DL128" i="1"/>
  <c r="CS133" i="1"/>
  <c r="CO67" i="1"/>
  <c r="DL67" i="1" s="1"/>
  <c r="CO40" i="1"/>
  <c r="DL40" i="1" s="1"/>
  <c r="BS93" i="1"/>
  <c r="BR93" i="1" s="1"/>
  <c r="CN93" i="1" s="1"/>
  <c r="CO93" i="3"/>
  <c r="CS134" i="3"/>
  <c r="G149" i="3"/>
  <c r="G154" i="3" s="1"/>
  <c r="AB154" i="3"/>
  <c r="BJ141" i="1"/>
  <c r="CI146" i="1"/>
  <c r="CI147" i="1" s="1"/>
  <c r="BB142" i="1"/>
  <c r="CL147" i="1"/>
  <c r="CM144" i="1"/>
  <c r="CM146" i="1" s="1"/>
  <c r="DK80" i="1"/>
  <c r="DH140" i="1"/>
  <c r="CZ140" i="1"/>
  <c r="CZ144" i="1" s="1"/>
  <c r="CZ146" i="1" s="1"/>
  <c r="BY144" i="1"/>
  <c r="BY146" i="1" s="1"/>
  <c r="DK21" i="1"/>
  <c r="BP144" i="1"/>
  <c r="BP146" i="1" s="1"/>
  <c r="DD144" i="1"/>
  <c r="AB145" i="1"/>
  <c r="DL120" i="1"/>
  <c r="BJ133" i="1"/>
  <c r="BO144" i="1"/>
  <c r="BO146" i="1" s="1"/>
  <c r="AX41" i="1"/>
  <c r="DK41" i="1" s="1"/>
  <c r="CO84" i="1"/>
  <c r="DL84" i="1" s="1"/>
  <c r="AX19" i="1"/>
  <c r="DK19" i="1" s="1"/>
  <c r="DK47" i="1"/>
  <c r="DH133" i="1"/>
  <c r="DK63" i="1"/>
  <c r="DK35" i="1"/>
  <c r="CF135" i="1"/>
  <c r="BX135" i="1"/>
  <c r="BJ60" i="1"/>
  <c r="DB135" i="2"/>
  <c r="CZ143" i="3"/>
  <c r="CZ145" i="3" s="1"/>
  <c r="DL79" i="1"/>
  <c r="BS139" i="1"/>
  <c r="DC145" i="1"/>
  <c r="DL81" i="1"/>
  <c r="DK25" i="1"/>
  <c r="AO135" i="1"/>
  <c r="DK78" i="1"/>
  <c r="BS60" i="1"/>
  <c r="AX60" i="3"/>
  <c r="BQ140" i="1"/>
  <c r="CO106" i="1"/>
  <c r="DL106" i="1" s="1"/>
  <c r="CO20" i="3"/>
  <c r="DK129" i="1"/>
  <c r="AD146" i="1"/>
  <c r="AD147" i="1" s="1"/>
  <c r="CQ139" i="1"/>
  <c r="AX15" i="1"/>
  <c r="DK15" i="1" s="1"/>
  <c r="AB139" i="1"/>
  <c r="DA60" i="1"/>
  <c r="DG60" i="1"/>
  <c r="DG135" i="1" s="1"/>
  <c r="CT20" i="1"/>
  <c r="BG135" i="1"/>
  <c r="DK111" i="1"/>
  <c r="AA111" i="1"/>
  <c r="AW111" i="1" s="1"/>
  <c r="CS113" i="1"/>
  <c r="AX93" i="3"/>
  <c r="CO58" i="1"/>
  <c r="DL58" i="1" s="1"/>
  <c r="CP113" i="1"/>
  <c r="CP135" i="1" s="1"/>
  <c r="DL74" i="1"/>
  <c r="AZ145" i="1"/>
  <c r="AU147" i="1"/>
  <c r="DH142" i="1"/>
  <c r="DA140" i="1"/>
  <c r="CQ20" i="1"/>
  <c r="AX9" i="1"/>
  <c r="CF144" i="1"/>
  <c r="CF146" i="1" s="1"/>
  <c r="CG135" i="1"/>
  <c r="CO66" i="1"/>
  <c r="DL66" i="1" s="1"/>
  <c r="AX20" i="3"/>
  <c r="AP135" i="1"/>
  <c r="AQ144" i="1"/>
  <c r="AQ146" i="1" s="1"/>
  <c r="DH145" i="1"/>
  <c r="AX91" i="1"/>
  <c r="DK91" i="1" s="1"/>
  <c r="AE135" i="1"/>
  <c r="BS137" i="1"/>
  <c r="AO144" i="1"/>
  <c r="AO146" i="1" s="1"/>
  <c r="CE147" i="1"/>
  <c r="BP60" i="1"/>
  <c r="BP135" i="1" s="1"/>
  <c r="CX133" i="1"/>
  <c r="DC113" i="1"/>
  <c r="CO23" i="1"/>
  <c r="DL23" i="1" s="1"/>
  <c r="CS139" i="1"/>
  <c r="BJ140" i="1"/>
  <c r="AB20" i="1"/>
  <c r="AG144" i="1"/>
  <c r="AG146" i="1" s="1"/>
  <c r="BJ134" i="3"/>
  <c r="AX40" i="1"/>
  <c r="DK40" i="1" s="1"/>
  <c r="BJ93" i="1"/>
  <c r="AB143" i="1"/>
  <c r="DK143" i="1" s="1"/>
  <c r="CO115" i="1"/>
  <c r="DL115" i="1" s="1"/>
  <c r="BQ133" i="1"/>
  <c r="DK54" i="1"/>
  <c r="CO118" i="1"/>
  <c r="DL118" i="1" s="1"/>
  <c r="AP144" i="1"/>
  <c r="AP146" i="1" s="1"/>
  <c r="CO137" i="3"/>
  <c r="AY145" i="3"/>
  <c r="BR137" i="3"/>
  <c r="CN137" i="3" s="1"/>
  <c r="AA137" i="3"/>
  <c r="AW137" i="3" s="1"/>
  <c r="AX112" i="3"/>
  <c r="CO132" i="3"/>
  <c r="CO140" i="3"/>
  <c r="DH143" i="3"/>
  <c r="DH145" i="3" s="1"/>
  <c r="AX138" i="3"/>
  <c r="BR132" i="3"/>
  <c r="DC134" i="3"/>
  <c r="DB143" i="3"/>
  <c r="DB145" i="3" s="1"/>
  <c r="AA112" i="3"/>
  <c r="BR112" i="3"/>
  <c r="CP145" i="3"/>
  <c r="AB143" i="3"/>
  <c r="AB145" i="3" s="1"/>
  <c r="DA134" i="3"/>
  <c r="AX144" i="3"/>
  <c r="CS143" i="3"/>
  <c r="CS145" i="3" s="1"/>
  <c r="BR144" i="3"/>
  <c r="CN144" i="3" s="1"/>
  <c r="BQ134" i="3"/>
  <c r="DD145" i="3"/>
  <c r="BB134" i="3"/>
  <c r="DH134" i="3"/>
  <c r="AA140" i="3"/>
  <c r="AW140" i="3" s="1"/>
  <c r="G134" i="3"/>
  <c r="CT143" i="3"/>
  <c r="CT145" i="3" s="1"/>
  <c r="AA144" i="3"/>
  <c r="AW144" i="3" s="1"/>
  <c r="BR60" i="3"/>
  <c r="AA60" i="3"/>
  <c r="AX140" i="3"/>
  <c r="BM145" i="3"/>
  <c r="CO138" i="3"/>
  <c r="BS143" i="3"/>
  <c r="AX141" i="3"/>
  <c r="G143" i="3"/>
  <c r="G145" i="3" s="1"/>
  <c r="CO139" i="3"/>
  <c r="AX137" i="3"/>
  <c r="AZ143" i="3"/>
  <c r="AZ145" i="3" s="1"/>
  <c r="BC143" i="3"/>
  <c r="BC145" i="3" s="1"/>
  <c r="BQ143" i="3"/>
  <c r="BQ145" i="3" s="1"/>
  <c r="AA139" i="3"/>
  <c r="AW139" i="3" s="1"/>
  <c r="CO141" i="3"/>
  <c r="BB143" i="3"/>
  <c r="BB145" i="3" s="1"/>
  <c r="BR140" i="3"/>
  <c r="CN140" i="3" s="1"/>
  <c r="AA141" i="3"/>
  <c r="AW141" i="3" s="1"/>
  <c r="BS134" i="3"/>
  <c r="BR20" i="3"/>
  <c r="AW149" i="3" s="1"/>
  <c r="AA136" i="3"/>
  <c r="AW136" i="3" s="1"/>
  <c r="AB134" i="3"/>
  <c r="AA134" i="3" s="1"/>
  <c r="AW134" i="3" s="1"/>
  <c r="AA20" i="3"/>
  <c r="BR139" i="3"/>
  <c r="CN139" i="3" s="1"/>
  <c r="CO112" i="3"/>
  <c r="BR141" i="3"/>
  <c r="CN141" i="3" s="1"/>
  <c r="CO144" i="3"/>
  <c r="CQ143" i="3"/>
  <c r="CQ145" i="3" s="1"/>
  <c r="AX136" i="3"/>
  <c r="CQ134" i="3"/>
  <c r="AX132" i="3"/>
  <c r="BR93" i="3"/>
  <c r="BR136" i="3"/>
  <c r="CN136" i="3" s="1"/>
  <c r="CO136" i="3"/>
  <c r="AX139" i="3"/>
  <c r="DC145" i="3"/>
  <c r="BS145" i="3"/>
  <c r="DA143" i="3"/>
  <c r="DA145" i="3" s="1"/>
  <c r="CO60" i="3"/>
  <c r="BK143" i="3"/>
  <c r="BK145" i="3" s="1"/>
  <c r="AA132" i="3"/>
  <c r="AA93" i="3"/>
  <c r="AX138" i="2"/>
  <c r="AX141" i="2"/>
  <c r="BR143" i="2"/>
  <c r="CN143" i="2" s="1"/>
  <c r="BI135" i="2"/>
  <c r="BL146" i="2"/>
  <c r="AX139" i="2"/>
  <c r="CO141" i="2"/>
  <c r="CT135" i="2"/>
  <c r="AX113" i="2"/>
  <c r="BK135" i="2"/>
  <c r="AX60" i="2"/>
  <c r="AZ135" i="2"/>
  <c r="BQ135" i="2"/>
  <c r="CQ135" i="2"/>
  <c r="BL135" i="2"/>
  <c r="BM146" i="2"/>
  <c r="BJ144" i="2"/>
  <c r="BJ146" i="2" s="1"/>
  <c r="BB144" i="2"/>
  <c r="BB146" i="2" s="1"/>
  <c r="CO137" i="2"/>
  <c r="CO113" i="2"/>
  <c r="AZ144" i="2"/>
  <c r="AZ146" i="2" s="1"/>
  <c r="BC135" i="2"/>
  <c r="CO142" i="2"/>
  <c r="DC144" i="2"/>
  <c r="DC146" i="2" s="1"/>
  <c r="AX142" i="2"/>
  <c r="BJ135" i="2"/>
  <c r="BQ144" i="2"/>
  <c r="BQ146" i="2" s="1"/>
  <c r="DA144" i="2"/>
  <c r="DA146" i="2" s="1"/>
  <c r="CP146" i="2"/>
  <c r="DC135" i="2"/>
  <c r="AB135" i="2"/>
  <c r="DA135" i="2"/>
  <c r="CO20" i="2"/>
  <c r="AX145" i="2"/>
  <c r="AX140" i="2"/>
  <c r="CS144" i="2"/>
  <c r="CS146" i="2" s="1"/>
  <c r="DH135" i="2"/>
  <c r="CO145" i="2"/>
  <c r="CS135" i="2"/>
  <c r="AA138" i="2"/>
  <c r="AW138" i="2" s="1"/>
  <c r="BR138" i="2"/>
  <c r="CN138" i="2" s="1"/>
  <c r="AA145" i="2"/>
  <c r="AW145" i="2" s="1"/>
  <c r="AA93" i="2"/>
  <c r="AW93" i="2" s="1"/>
  <c r="CO139" i="2"/>
  <c r="AA140" i="2"/>
  <c r="AW140" i="2" s="1"/>
  <c r="BS144" i="2"/>
  <c r="BR137" i="2"/>
  <c r="CN137" i="2" s="1"/>
  <c r="BS135" i="2"/>
  <c r="BR20" i="2"/>
  <c r="CN20" i="2" s="1"/>
  <c r="CT144" i="2"/>
  <c r="CT146" i="2" s="1"/>
  <c r="CO60" i="2"/>
  <c r="BC144" i="2"/>
  <c r="BC146" i="2" s="1"/>
  <c r="G135" i="2"/>
  <c r="AA133" i="2"/>
  <c r="AW133" i="2" s="1"/>
  <c r="BR133" i="2"/>
  <c r="CN133" i="2" s="1"/>
  <c r="CO133" i="2"/>
  <c r="CO93" i="2"/>
  <c r="G144" i="2"/>
  <c r="AX133" i="2"/>
  <c r="BR142" i="2"/>
  <c r="CN142" i="2" s="1"/>
  <c r="AA20" i="2"/>
  <c r="AW20" i="2" s="1"/>
  <c r="CO138" i="2"/>
  <c r="AA113" i="2"/>
  <c r="AW113" i="2" s="1"/>
  <c r="AA143" i="2"/>
  <c r="AW143" i="2" s="1"/>
  <c r="CO140" i="2"/>
  <c r="BR139" i="2"/>
  <c r="CN139" i="2" s="1"/>
  <c r="AA141" i="2"/>
  <c r="AW141" i="2" s="1"/>
  <c r="AA139" i="2"/>
  <c r="AW139" i="2" s="1"/>
  <c r="BR141" i="2"/>
  <c r="CN141" i="2" s="1"/>
  <c r="BR140" i="2"/>
  <c r="CN140" i="2" s="1"/>
  <c r="BR145" i="2"/>
  <c r="CN145" i="2" s="1"/>
  <c r="BR60" i="2"/>
  <c r="CN60" i="2" s="1"/>
  <c r="BR113" i="2"/>
  <c r="CN113" i="2" s="1"/>
  <c r="AA60" i="2"/>
  <c r="AW60" i="2" s="1"/>
  <c r="BA144" i="2"/>
  <c r="BA146" i="2" s="1"/>
  <c r="AX137" i="2"/>
  <c r="AX20" i="2"/>
  <c r="CQ144" i="2"/>
  <c r="CQ146" i="2" s="1"/>
  <c r="BB135" i="2"/>
  <c r="AX93" i="2"/>
  <c r="AB144" i="2"/>
  <c r="AA137" i="2"/>
  <c r="AW137" i="2" s="1"/>
  <c r="DH144" i="2"/>
  <c r="DH146" i="2" s="1"/>
  <c r="AA142" i="2"/>
  <c r="AW142" i="2" s="1"/>
  <c r="BR93" i="2"/>
  <c r="CN93" i="2" s="1"/>
  <c r="AY146" i="2"/>
  <c r="DD146" i="2"/>
  <c r="BS142" i="1"/>
  <c r="BS140" i="1"/>
  <c r="O147" i="1"/>
  <c r="DK126" i="1"/>
  <c r="AA126" i="1"/>
  <c r="AW126" i="1" s="1"/>
  <c r="CQ138" i="1"/>
  <c r="CO117" i="1"/>
  <c r="DL117" i="1" s="1"/>
  <c r="DJ27" i="1"/>
  <c r="AA27" i="1"/>
  <c r="AW27" i="1" s="1"/>
  <c r="BR27" i="1"/>
  <c r="CN27" i="1" s="1"/>
  <c r="G140" i="1"/>
  <c r="DJ140" i="1" s="1"/>
  <c r="BV144" i="1"/>
  <c r="BV146" i="1" s="1"/>
  <c r="DJ117" i="1"/>
  <c r="G138" i="1"/>
  <c r="DJ138" i="1" s="1"/>
  <c r="AA117" i="1"/>
  <c r="AW117" i="1" s="1"/>
  <c r="BL138" i="1"/>
  <c r="DK95" i="1"/>
  <c r="DK114" i="1"/>
  <c r="DC60" i="1"/>
  <c r="AV144" i="1"/>
  <c r="AV146" i="1" s="1"/>
  <c r="R147" i="1"/>
  <c r="G20" i="1"/>
  <c r="K144" i="1"/>
  <c r="K146" i="1" s="1"/>
  <c r="BK135" i="1"/>
  <c r="AA107" i="1"/>
  <c r="AW107" i="1" s="1"/>
  <c r="BR140" i="1"/>
  <c r="CN140" i="1" s="1"/>
  <c r="AX24" i="1"/>
  <c r="DK24" i="1" s="1"/>
  <c r="AZ140" i="1"/>
  <c r="AZ60" i="1"/>
  <c r="DJ121" i="1"/>
  <c r="AA121" i="1"/>
  <c r="AW121" i="1" s="1"/>
  <c r="BR121" i="1"/>
  <c r="CN121" i="1" s="1"/>
  <c r="AZ138" i="1"/>
  <c r="AX117" i="1"/>
  <c r="DK117" i="1" s="1"/>
  <c r="AZ133" i="1"/>
  <c r="G139" i="1"/>
  <c r="DJ139" i="1" s="1"/>
  <c r="DJ8" i="1"/>
  <c r="AA8" i="1"/>
  <c r="AW8" i="1" s="1"/>
  <c r="BR8" i="1"/>
  <c r="CN8" i="1" s="1"/>
  <c r="AX107" i="1"/>
  <c r="DK107" i="1" s="1"/>
  <c r="AY145" i="1"/>
  <c r="AY113" i="1"/>
  <c r="AY135" i="1" s="1"/>
  <c r="AA115" i="1"/>
  <c r="AW115" i="1" s="1"/>
  <c r="AB133" i="1"/>
  <c r="BS145" i="1"/>
  <c r="BU146" i="1"/>
  <c r="BU147" i="1" s="1"/>
  <c r="BI140" i="1"/>
  <c r="AX30" i="1"/>
  <c r="DK30" i="1" s="1"/>
  <c r="BI60" i="1"/>
  <c r="BI135" i="1" s="1"/>
  <c r="CS93" i="1"/>
  <c r="CO91" i="1"/>
  <c r="DL91" i="1" s="1"/>
  <c r="CO70" i="1"/>
  <c r="DL70" i="1" s="1"/>
  <c r="DA93" i="1"/>
  <c r="DA142" i="1"/>
  <c r="U147" i="1"/>
  <c r="BR129" i="1"/>
  <c r="CN129" i="1" s="1"/>
  <c r="DL129" i="1"/>
  <c r="BB133" i="1"/>
  <c r="AX124" i="1"/>
  <c r="DK124" i="1" s="1"/>
  <c r="AA132" i="1"/>
  <c r="AW132" i="1" s="1"/>
  <c r="DK132" i="1"/>
  <c r="BR117" i="1"/>
  <c r="CN117" i="1" s="1"/>
  <c r="BS133" i="1"/>
  <c r="DJ108" i="1"/>
  <c r="AA108" i="1"/>
  <c r="AW108" i="1" s="1"/>
  <c r="G60" i="1"/>
  <c r="DJ60" i="1" s="1"/>
  <c r="BR72" i="1"/>
  <c r="CN72" i="1" s="1"/>
  <c r="DL72" i="1"/>
  <c r="AA36" i="1"/>
  <c r="AW36" i="1" s="1"/>
  <c r="DK36" i="1"/>
  <c r="CG144" i="1"/>
  <c r="CG146" i="1" s="1"/>
  <c r="BS141" i="1"/>
  <c r="AL144" i="1"/>
  <c r="AL146" i="1" s="1"/>
  <c r="AL147" i="1" s="1"/>
  <c r="AB137" i="1"/>
  <c r="AA61" i="1"/>
  <c r="AW61" i="1" s="1"/>
  <c r="AB93" i="1"/>
  <c r="AA85" i="1"/>
  <c r="AW85" i="1" s="1"/>
  <c r="DK85" i="1"/>
  <c r="BL140" i="1"/>
  <c r="AX26" i="1"/>
  <c r="DK26" i="1" s="1"/>
  <c r="BL60" i="1"/>
  <c r="BL135" i="1" s="1"/>
  <c r="DK98" i="1"/>
  <c r="AA98" i="1"/>
  <c r="AW98" i="1" s="1"/>
  <c r="AB113" i="1"/>
  <c r="BQ142" i="1"/>
  <c r="BQ93" i="1"/>
  <c r="DL126" i="1"/>
  <c r="BR126" i="1"/>
  <c r="CN126" i="1" s="1"/>
  <c r="CQ137" i="1"/>
  <c r="CQ133" i="1"/>
  <c r="CO114" i="1"/>
  <c r="AX105" i="1"/>
  <c r="DK105" i="1" s="1"/>
  <c r="BQ113" i="1"/>
  <c r="BQ145" i="1"/>
  <c r="AA90" i="1"/>
  <c r="AW90" i="1" s="1"/>
  <c r="DK90" i="1"/>
  <c r="CO112" i="1"/>
  <c r="DL112" i="1" s="1"/>
  <c r="CQ145" i="1"/>
  <c r="CW133" i="1"/>
  <c r="CW135" i="1" s="1"/>
  <c r="CW137" i="1"/>
  <c r="CW144" i="1" s="1"/>
  <c r="CW146" i="1" s="1"/>
  <c r="DJ7" i="1"/>
  <c r="AA7" i="1"/>
  <c r="AW7" i="1" s="1"/>
  <c r="BR7" i="1"/>
  <c r="CN7" i="1" s="1"/>
  <c r="AB140" i="1"/>
  <c r="S147" i="1"/>
  <c r="DL83" i="1"/>
  <c r="BR83" i="1"/>
  <c r="CN83" i="1" s="1"/>
  <c r="AA41" i="1"/>
  <c r="AW41" i="1" s="1"/>
  <c r="AG135" i="1"/>
  <c r="DK53" i="1"/>
  <c r="AA53" i="1"/>
  <c r="AW53" i="1" s="1"/>
  <c r="BO135" i="1"/>
  <c r="BO147" i="1" s="1"/>
  <c r="DL69" i="1"/>
  <c r="BR69" i="1"/>
  <c r="CN69" i="1" s="1"/>
  <c r="DC140" i="1"/>
  <c r="DC144" i="1" s="1"/>
  <c r="AA30" i="1"/>
  <c r="AW30" i="1" s="1"/>
  <c r="DK56" i="1"/>
  <c r="AA56" i="1"/>
  <c r="AW56" i="1" s="1"/>
  <c r="DD145" i="1"/>
  <c r="DD113" i="1"/>
  <c r="DD135" i="1" s="1"/>
  <c r="BQ20" i="1"/>
  <c r="BR58" i="1"/>
  <c r="CN58" i="1" s="1"/>
  <c r="DK65" i="1"/>
  <c r="AA65" i="1"/>
  <c r="AW65" i="1" s="1"/>
  <c r="DK48" i="1"/>
  <c r="AA48" i="1"/>
  <c r="AW48" i="1" s="1"/>
  <c r="BB139" i="1"/>
  <c r="AA71" i="1"/>
  <c r="AW71" i="1" s="1"/>
  <c r="DK71" i="1"/>
  <c r="AB142" i="1"/>
  <c r="DF144" i="1"/>
  <c r="DF146" i="1" s="1"/>
  <c r="BS143" i="1"/>
  <c r="CK144" i="1"/>
  <c r="CK146" i="1" s="1"/>
  <c r="CK147" i="1" s="1"/>
  <c r="CU137" i="1"/>
  <c r="CU144" i="1" s="1"/>
  <c r="CU146" i="1" s="1"/>
  <c r="CU133" i="1"/>
  <c r="CU135" i="1" s="1"/>
  <c r="CU147" i="1" s="1"/>
  <c r="G137" i="1"/>
  <c r="G133" i="1"/>
  <c r="DJ133" i="1" s="1"/>
  <c r="DJ114" i="1"/>
  <c r="DL100" i="1"/>
  <c r="BR100" i="1"/>
  <c r="CN100" i="1" s="1"/>
  <c r="BR112" i="1"/>
  <c r="CN112" i="1" s="1"/>
  <c r="AT147" i="1"/>
  <c r="CO95" i="1"/>
  <c r="DL95" i="1" s="1"/>
  <c r="DK100" i="1"/>
  <c r="AA100" i="1"/>
  <c r="AW100" i="1" s="1"/>
  <c r="AB141" i="1"/>
  <c r="DJ44" i="1"/>
  <c r="AA44" i="1"/>
  <c r="AW44" i="1" s="1"/>
  <c r="BR43" i="1"/>
  <c r="CN43" i="1" s="1"/>
  <c r="AA82" i="1"/>
  <c r="AW82" i="1" s="1"/>
  <c r="DK82" i="1"/>
  <c r="BR114" i="1"/>
  <c r="CN114" i="1" s="1"/>
  <c r="DB20" i="1"/>
  <c r="DB135" i="1" s="1"/>
  <c r="CX135" i="1"/>
  <c r="AV135" i="1"/>
  <c r="DK11" i="1"/>
  <c r="AA11" i="1"/>
  <c r="AW11" i="1" s="1"/>
  <c r="BR66" i="1"/>
  <c r="CN66" i="1" s="1"/>
  <c r="DK106" i="1"/>
  <c r="AA106" i="1"/>
  <c r="AW106" i="1" s="1"/>
  <c r="DK50" i="1"/>
  <c r="AA50" i="1"/>
  <c r="AW50" i="1" s="1"/>
  <c r="BR118" i="1"/>
  <c r="CN118" i="1" s="1"/>
  <c r="Z135" i="1"/>
  <c r="Z147" i="1" s="1"/>
  <c r="BB93" i="1"/>
  <c r="CR133" i="1"/>
  <c r="CR135" i="1" s="1"/>
  <c r="CR137" i="1"/>
  <c r="CR144" i="1" s="1"/>
  <c r="CR146" i="1" s="1"/>
  <c r="CQ113" i="1"/>
  <c r="CO109" i="1"/>
  <c r="DL109" i="1" s="1"/>
  <c r="BR84" i="1"/>
  <c r="CN84" i="1" s="1"/>
  <c r="CS142" i="1"/>
  <c r="Y147" i="1"/>
  <c r="BR124" i="1"/>
  <c r="CN124" i="1" s="1"/>
  <c r="DL124" i="1"/>
  <c r="DK83" i="1"/>
  <c r="AA83" i="1"/>
  <c r="AW83" i="1" s="1"/>
  <c r="CY137" i="1"/>
  <c r="CY144" i="1" s="1"/>
  <c r="CY146" i="1" s="1"/>
  <c r="CY133" i="1"/>
  <c r="CY135" i="1" s="1"/>
  <c r="AH135" i="1"/>
  <c r="AH147" i="1" s="1"/>
  <c r="AN144" i="1"/>
  <c r="AN146" i="1" s="1"/>
  <c r="AN147" i="1" s="1"/>
  <c r="AY144" i="1"/>
  <c r="G145" i="1"/>
  <c r="DJ145" i="1" s="1"/>
  <c r="G113" i="1"/>
  <c r="DJ113" i="1" s="1"/>
  <c r="DJ95" i="1"/>
  <c r="DL49" i="1"/>
  <c r="BR49" i="1"/>
  <c r="CN49" i="1" s="1"/>
  <c r="DH60" i="1"/>
  <c r="L147" i="1"/>
  <c r="DK34" i="1"/>
  <c r="AA34" i="1"/>
  <c r="AW34" i="1" s="1"/>
  <c r="BR116" i="1"/>
  <c r="CN116" i="1" s="1"/>
  <c r="DL116" i="1"/>
  <c r="DJ58" i="1"/>
  <c r="AA58" i="1"/>
  <c r="AW58" i="1" s="1"/>
  <c r="AA23" i="1"/>
  <c r="AW23" i="1" s="1"/>
  <c r="CO103" i="1"/>
  <c r="DL103" i="1" s="1"/>
  <c r="DL88" i="1"/>
  <c r="DM88" i="1" s="1"/>
  <c r="BR88" i="1"/>
  <c r="CN88" i="1" s="1"/>
  <c r="AX49" i="1"/>
  <c r="DK49" i="1" s="1"/>
  <c r="DL34" i="1"/>
  <c r="BR34" i="1"/>
  <c r="CN34" i="1" s="1"/>
  <c r="I135" i="1"/>
  <c r="I147" i="1" s="1"/>
  <c r="CO9" i="1"/>
  <c r="DL9" i="1" s="1"/>
  <c r="G141" i="1"/>
  <c r="DJ141" i="1" s="1"/>
  <c r="AA96" i="1"/>
  <c r="AW96" i="1" s="1"/>
  <c r="BR13" i="1"/>
  <c r="CN13" i="1" s="1"/>
  <c r="BH137" i="1"/>
  <c r="BH144" i="1" s="1"/>
  <c r="BH146" i="1" s="1"/>
  <c r="BH133" i="1"/>
  <c r="BH135" i="1" s="1"/>
  <c r="BR28" i="1"/>
  <c r="CN28" i="1" s="1"/>
  <c r="DJ28" i="1"/>
  <c r="CO10" i="1"/>
  <c r="DL10" i="1" s="1"/>
  <c r="BR64" i="1"/>
  <c r="CN64" i="1" s="1"/>
  <c r="DL64" i="1"/>
  <c r="CZ93" i="1"/>
  <c r="CO13" i="1"/>
  <c r="DL13" i="1" s="1"/>
  <c r="BR54" i="1"/>
  <c r="CN54" i="1" s="1"/>
  <c r="DF135" i="1"/>
  <c r="DF147" i="1" s="1"/>
  <c r="DK120" i="1"/>
  <c r="AA120" i="1"/>
  <c r="AW120" i="1" s="1"/>
  <c r="CO54" i="1"/>
  <c r="DL54" i="1" s="1"/>
  <c r="DB144" i="1"/>
  <c r="DB146" i="1" s="1"/>
  <c r="DJ77" i="1"/>
  <c r="BR77" i="1"/>
  <c r="CN77" i="1" s="1"/>
  <c r="AA9" i="1"/>
  <c r="AW9" i="1" s="1"/>
  <c r="DK9" i="1"/>
  <c r="AA13" i="1"/>
  <c r="AW13" i="1" s="1"/>
  <c r="DK13" i="1"/>
  <c r="AB138" i="1"/>
  <c r="DJ69" i="1"/>
  <c r="AA69" i="1"/>
  <c r="AW69" i="1" s="1"/>
  <c r="CP144" i="1"/>
  <c r="AA49" i="1"/>
  <c r="AW49" i="1" s="1"/>
  <c r="DL22" i="1"/>
  <c r="BR22" i="1"/>
  <c r="CN22" i="1" s="1"/>
  <c r="BC142" i="1"/>
  <c r="BC144" i="1" s="1"/>
  <c r="BC146" i="1" s="1"/>
  <c r="BC93" i="1"/>
  <c r="BC135" i="1" s="1"/>
  <c r="AB60" i="1"/>
  <c r="AA128" i="1"/>
  <c r="AW128" i="1" s="1"/>
  <c r="DK128" i="1"/>
  <c r="BA133" i="1"/>
  <c r="BA135" i="1" s="1"/>
  <c r="BA137" i="1"/>
  <c r="BA144" i="1" s="1"/>
  <c r="BA146" i="1" s="1"/>
  <c r="DL111" i="1"/>
  <c r="BR111" i="1"/>
  <c r="CN111" i="1" s="1"/>
  <c r="CP145" i="1"/>
  <c r="BD144" i="1"/>
  <c r="BD146" i="1" s="1"/>
  <c r="BD147" i="1" s="1"/>
  <c r="DH138" i="1"/>
  <c r="BM145" i="1"/>
  <c r="BM113" i="1"/>
  <c r="BM135" i="1" s="1"/>
  <c r="AA67" i="1"/>
  <c r="AW67" i="1" s="1"/>
  <c r="DJ67" i="1"/>
  <c r="AA77" i="1"/>
  <c r="AW77" i="1" s="1"/>
  <c r="BV135" i="1"/>
  <c r="AX61" i="1"/>
  <c r="AA114" i="1"/>
  <c r="AW114" i="1" s="1"/>
  <c r="BR98" i="1"/>
  <c r="CN98" i="1" s="1"/>
  <c r="DE140" i="1"/>
  <c r="DE144" i="1" s="1"/>
  <c r="DE146" i="1" s="1"/>
  <c r="DE60" i="1"/>
  <c r="DE135" i="1" s="1"/>
  <c r="CV135" i="1"/>
  <c r="CV147" i="1" s="1"/>
  <c r="CS141" i="1"/>
  <c r="CS20" i="1"/>
  <c r="CO4" i="1"/>
  <c r="CT142" i="1"/>
  <c r="CT144" i="1" s="1"/>
  <c r="CT146" i="1" s="1"/>
  <c r="CT93" i="1"/>
  <c r="BQ60" i="1"/>
  <c r="BR108" i="1"/>
  <c r="CN108" i="1" s="1"/>
  <c r="DL108" i="1"/>
  <c r="AX5" i="1"/>
  <c r="DK5" i="1" s="1"/>
  <c r="AX8" i="1"/>
  <c r="DK8" i="1" s="1"/>
  <c r="BY135" i="1"/>
  <c r="AX70" i="1"/>
  <c r="DK70" i="1" s="1"/>
  <c r="BR21" i="1"/>
  <c r="CN21" i="1" s="1"/>
  <c r="DL80" i="1"/>
  <c r="BR80" i="1"/>
  <c r="CN80" i="1" s="1"/>
  <c r="AA54" i="1"/>
  <c r="AW54" i="1" s="1"/>
  <c r="I144" i="1"/>
  <c r="I146" i="1" s="1"/>
  <c r="CJ147" i="1"/>
  <c r="BB141" i="1"/>
  <c r="DJ31" i="1"/>
  <c r="AA31" i="1"/>
  <c r="AW31" i="1" s="1"/>
  <c r="BM144" i="1"/>
  <c r="CX144" i="1"/>
  <c r="CX146" i="1" s="1"/>
  <c r="DL123" i="1"/>
  <c r="BR123" i="1"/>
  <c r="CN123" i="1" s="1"/>
  <c r="Z144" i="1"/>
  <c r="Z146" i="1" s="1"/>
  <c r="DL50" i="1"/>
  <c r="BR50" i="1"/>
  <c r="CN50" i="1" s="1"/>
  <c r="DJ5" i="1"/>
  <c r="AA5" i="1"/>
  <c r="AW5" i="1" s="1"/>
  <c r="BE137" i="1"/>
  <c r="BE144" i="1" s="1"/>
  <c r="BE146" i="1" s="1"/>
  <c r="BE133" i="1"/>
  <c r="BE135" i="1" s="1"/>
  <c r="BE147" i="1" s="1"/>
  <c r="AA103" i="1"/>
  <c r="AW103" i="1" s="1"/>
  <c r="DK103" i="1"/>
  <c r="AE144" i="1"/>
  <c r="AE146" i="1" s="1"/>
  <c r="AZ113" i="1"/>
  <c r="BR103" i="1"/>
  <c r="CN103" i="1" s="1"/>
  <c r="BF137" i="1"/>
  <c r="BF144" i="1" s="1"/>
  <c r="BF146" i="1" s="1"/>
  <c r="BF133" i="1"/>
  <c r="BF135" i="1" s="1"/>
  <c r="CM135" i="1"/>
  <c r="AA91" i="1"/>
  <c r="AW91" i="1" s="1"/>
  <c r="BR82" i="1"/>
  <c r="CN82" i="1" s="1"/>
  <c r="DL82" i="1"/>
  <c r="BQ141" i="1"/>
  <c r="AA81" i="1"/>
  <c r="AW81" i="1" s="1"/>
  <c r="DK81" i="1"/>
  <c r="DK73" i="1"/>
  <c r="AA73" i="1"/>
  <c r="AW73" i="1" s="1"/>
  <c r="BR46" i="1"/>
  <c r="CN46" i="1" s="1"/>
  <c r="DL46" i="1"/>
  <c r="BR65" i="1"/>
  <c r="CN65" i="1" s="1"/>
  <c r="DL65" i="1"/>
  <c r="DL61" i="1"/>
  <c r="BR91" i="1"/>
  <c r="CN91" i="1" s="1"/>
  <c r="DL52" i="1"/>
  <c r="BR52" i="1"/>
  <c r="CN52" i="1" s="1"/>
  <c r="AX23" i="1"/>
  <c r="DK23" i="1" s="1"/>
  <c r="G142" i="1"/>
  <c r="DJ142" i="1" s="1"/>
  <c r="G93" i="1"/>
  <c r="DJ93" i="1" s="1"/>
  <c r="BR61" i="1"/>
  <c r="CN61" i="1" s="1"/>
  <c r="DJ61" i="1"/>
  <c r="K147" i="1"/>
  <c r="AZ20" i="1"/>
  <c r="BR31" i="1"/>
  <c r="CN31" i="1" s="1"/>
  <c r="AZ139" i="1"/>
  <c r="Q144" i="1"/>
  <c r="Q146" i="1" s="1"/>
  <c r="Q147" i="1" s="1"/>
  <c r="DL48" i="1"/>
  <c r="BR48" i="1"/>
  <c r="CN48" i="1" s="1"/>
  <c r="CQ140" i="1"/>
  <c r="CO21" i="1"/>
  <c r="DL21" i="1" s="1"/>
  <c r="CQ60" i="1"/>
  <c r="BR106" i="1"/>
  <c r="CN106" i="1" s="1"/>
  <c r="AA24" i="1"/>
  <c r="AW24" i="1" s="1"/>
  <c r="BS113" i="1"/>
  <c r="BR95" i="1"/>
  <c r="CN95" i="1" s="1"/>
  <c r="BH147" i="1" l="1"/>
  <c r="BG147" i="1"/>
  <c r="DD146" i="1"/>
  <c r="DH135" i="1"/>
  <c r="CY147" i="1"/>
  <c r="CG147" i="1"/>
  <c r="BJ135" i="1"/>
  <c r="CH147" i="1"/>
  <c r="BP147" i="1"/>
  <c r="AE147" i="1"/>
  <c r="CT135" i="1"/>
  <c r="CT147" i="1" s="1"/>
  <c r="BB135" i="1"/>
  <c r="CM147" i="1"/>
  <c r="AP147" i="1"/>
  <c r="CO139" i="1"/>
  <c r="DL139" i="1" s="1"/>
  <c r="DC135" i="1"/>
  <c r="DB147" i="1"/>
  <c r="AA143" i="1"/>
  <c r="AW143" i="1" s="1"/>
  <c r="BK147" i="1"/>
  <c r="AO147" i="1"/>
  <c r="CF147" i="1"/>
  <c r="DC146" i="1"/>
  <c r="BJ144" i="1"/>
  <c r="BJ146" i="1" s="1"/>
  <c r="BJ147" i="1" s="1"/>
  <c r="AX139" i="1"/>
  <c r="DK139" i="1" s="1"/>
  <c r="BQ144" i="1"/>
  <c r="BQ146" i="1" s="1"/>
  <c r="DA135" i="1"/>
  <c r="BR20" i="1"/>
  <c r="CN20" i="1" s="1"/>
  <c r="CO138" i="1"/>
  <c r="DL138" i="1" s="1"/>
  <c r="BX147" i="1"/>
  <c r="AW93" i="3"/>
  <c r="AA151" i="3"/>
  <c r="AW132" i="3"/>
  <c r="AA153" i="3"/>
  <c r="CR147" i="1"/>
  <c r="BY147" i="1"/>
  <c r="AB135" i="1"/>
  <c r="BL144" i="1"/>
  <c r="BL146" i="1" s="1"/>
  <c r="BL147" i="1" s="1"/>
  <c r="AW60" i="3"/>
  <c r="AA150" i="3"/>
  <c r="BA147" i="1"/>
  <c r="BS144" i="1"/>
  <c r="AW20" i="3"/>
  <c r="AA149" i="3"/>
  <c r="DG147" i="1"/>
  <c r="CS144" i="1"/>
  <c r="CS146" i="1" s="1"/>
  <c r="AX138" i="1"/>
  <c r="DK138" i="1" s="1"/>
  <c r="AW112" i="3"/>
  <c r="AA152" i="3"/>
  <c r="BR137" i="1"/>
  <c r="CN137" i="1" s="1"/>
  <c r="CS135" i="1"/>
  <c r="CZ147" i="1"/>
  <c r="AX140" i="1"/>
  <c r="DK140" i="1" s="1"/>
  <c r="CN60" i="3"/>
  <c r="AW150" i="3"/>
  <c r="AX142" i="1"/>
  <c r="DK142" i="1" s="1"/>
  <c r="AV147" i="1"/>
  <c r="BB144" i="1"/>
  <c r="BB146" i="1" s="1"/>
  <c r="AX133" i="1"/>
  <c r="DK133" i="1" s="1"/>
  <c r="CN93" i="3"/>
  <c r="AW151" i="3"/>
  <c r="AG147" i="1"/>
  <c r="AX60" i="1"/>
  <c r="DK60" i="1" s="1"/>
  <c r="CX147" i="1"/>
  <c r="AZ144" i="1"/>
  <c r="AZ146" i="1" s="1"/>
  <c r="AX134" i="3"/>
  <c r="CO93" i="1"/>
  <c r="DL93" i="1" s="1"/>
  <c r="CN132" i="3"/>
  <c r="AW153" i="3"/>
  <c r="CN112" i="3"/>
  <c r="AW152" i="3"/>
  <c r="CQ135" i="1"/>
  <c r="CO141" i="1"/>
  <c r="DL141" i="1" s="1"/>
  <c r="CO60" i="1"/>
  <c r="DH144" i="1"/>
  <c r="DH146" i="1" s="1"/>
  <c r="CO142" i="1"/>
  <c r="DL142" i="1" s="1"/>
  <c r="AX141" i="1"/>
  <c r="DK141" i="1" s="1"/>
  <c r="CO140" i="1"/>
  <c r="DL140" i="1" s="1"/>
  <c r="CN20" i="3"/>
  <c r="CO134" i="3"/>
  <c r="BR145" i="3"/>
  <c r="CN145" i="3" s="1"/>
  <c r="CO143" i="3"/>
  <c r="CO145" i="3" s="1"/>
  <c r="BR134" i="3"/>
  <c r="AW154" i="3" s="1"/>
  <c r="BR143" i="3"/>
  <c r="CN143" i="3" s="1"/>
  <c r="AA143" i="3"/>
  <c r="AW143" i="3" s="1"/>
  <c r="AX143" i="3"/>
  <c r="AX145" i="3" s="1"/>
  <c r="AA145" i="3"/>
  <c r="AX144" i="2"/>
  <c r="AX146" i="2" s="1"/>
  <c r="AA135" i="2"/>
  <c r="AW135" i="2" s="1"/>
  <c r="CO135" i="2"/>
  <c r="CO144" i="2"/>
  <c r="CO146" i="2" s="1"/>
  <c r="AX135" i="2"/>
  <c r="BR135" i="2"/>
  <c r="CN135" i="2" s="1"/>
  <c r="G146" i="2"/>
  <c r="AA144" i="2"/>
  <c r="AW144" i="2" s="1"/>
  <c r="AB146" i="2"/>
  <c r="BS146" i="2"/>
  <c r="BR144" i="2"/>
  <c r="CN144" i="2" s="1"/>
  <c r="DA144" i="1"/>
  <c r="DA146" i="1" s="1"/>
  <c r="DA147" i="1" s="1"/>
  <c r="BR139" i="1"/>
  <c r="CN139" i="1" s="1"/>
  <c r="BF147" i="1"/>
  <c r="CW147" i="1"/>
  <c r="AA20" i="1"/>
  <c r="AW20" i="1" s="1"/>
  <c r="BM146" i="1"/>
  <c r="BM147" i="1" s="1"/>
  <c r="AY146" i="1"/>
  <c r="AY147" i="1" s="1"/>
  <c r="BC147" i="1"/>
  <c r="CO113" i="1"/>
  <c r="DL113" i="1" s="1"/>
  <c r="G144" i="1"/>
  <c r="DJ137" i="1"/>
  <c r="BR133" i="1"/>
  <c r="CN133" i="1" s="1"/>
  <c r="AA133" i="1"/>
  <c r="AW133" i="1" s="1"/>
  <c r="BR142" i="1"/>
  <c r="CN142" i="1" s="1"/>
  <c r="BI144" i="1"/>
  <c r="BI146" i="1" s="1"/>
  <c r="BI147" i="1" s="1"/>
  <c r="DE147" i="1"/>
  <c r="AA139" i="1"/>
  <c r="AW139" i="1" s="1"/>
  <c r="AA140" i="1"/>
  <c r="AW140" i="1" s="1"/>
  <c r="AB144" i="1"/>
  <c r="AA137" i="1"/>
  <c r="AW137" i="1" s="1"/>
  <c r="AA145" i="1"/>
  <c r="AW145" i="1" s="1"/>
  <c r="G135" i="1"/>
  <c r="DJ20" i="1"/>
  <c r="BQ135" i="1"/>
  <c r="BQ147" i="1" s="1"/>
  <c r="BR141" i="1"/>
  <c r="CN141" i="1" s="1"/>
  <c r="BR113" i="1"/>
  <c r="CN113" i="1" s="1"/>
  <c r="CO20" i="1"/>
  <c r="DL4" i="1"/>
  <c r="AX93" i="1"/>
  <c r="DK93" i="1" s="1"/>
  <c r="AA141" i="1"/>
  <c r="AW141" i="1" s="1"/>
  <c r="DL143" i="1"/>
  <c r="BR143" i="1"/>
  <c r="CN143" i="1" s="1"/>
  <c r="CQ144" i="1"/>
  <c r="CQ146" i="1" s="1"/>
  <c r="AX113" i="1"/>
  <c r="DK113" i="1" s="1"/>
  <c r="AZ135" i="1"/>
  <c r="BR60" i="1"/>
  <c r="CN60" i="1" s="1"/>
  <c r="DL60" i="1"/>
  <c r="BV147" i="1"/>
  <c r="CO145" i="1"/>
  <c r="DL145" i="1" s="1"/>
  <c r="AA60" i="1"/>
  <c r="AW60" i="1" s="1"/>
  <c r="CO137" i="1"/>
  <c r="AA113" i="1"/>
  <c r="AW113" i="1" s="1"/>
  <c r="DK61" i="1"/>
  <c r="BR138" i="1"/>
  <c r="CN138" i="1" s="1"/>
  <c r="AA138" i="1"/>
  <c r="AW138" i="1" s="1"/>
  <c r="CO133" i="1"/>
  <c r="DL133" i="1" s="1"/>
  <c r="DL114" i="1"/>
  <c r="BS135" i="1"/>
  <c r="DD147" i="1"/>
  <c r="BS146" i="1"/>
  <c r="BR144" i="1"/>
  <c r="CN144" i="1" s="1"/>
  <c r="AX145" i="1"/>
  <c r="DK145" i="1" s="1"/>
  <c r="CP146" i="1"/>
  <c r="CP147" i="1" s="1"/>
  <c r="AX137" i="1"/>
  <c r="AX20" i="1"/>
  <c r="AA142" i="1"/>
  <c r="AW142" i="1" s="1"/>
  <c r="AA93" i="1"/>
  <c r="AW93" i="1" s="1"/>
  <c r="BR145" i="1"/>
  <c r="CN145" i="1" s="1"/>
  <c r="DH147" i="1" l="1"/>
  <c r="CS147" i="1"/>
  <c r="DC147" i="1"/>
  <c r="BB147" i="1"/>
  <c r="CQ147" i="1"/>
  <c r="AZ147" i="1"/>
  <c r="AX144" i="1"/>
  <c r="AX146" i="1" s="1"/>
  <c r="AA135" i="1"/>
  <c r="AW135" i="1" s="1"/>
  <c r="AW145" i="3"/>
  <c r="AA154" i="3"/>
  <c r="CN134" i="3"/>
  <c r="AA146" i="2"/>
  <c r="AW146" i="2" s="1"/>
  <c r="BR146" i="2"/>
  <c r="CN146" i="2" s="1"/>
  <c r="BS147" i="1"/>
  <c r="BR135" i="1"/>
  <c r="CN135" i="1" s="1"/>
  <c r="CO135" i="1"/>
  <c r="DL135" i="1" s="1"/>
  <c r="DL20" i="1"/>
  <c r="CO144" i="1"/>
  <c r="DL137" i="1"/>
  <c r="DK137" i="1"/>
  <c r="DJ135" i="1"/>
  <c r="AX135" i="1"/>
  <c r="DK20" i="1"/>
  <c r="AA144" i="1"/>
  <c r="AW144" i="1" s="1"/>
  <c r="AB146" i="1"/>
  <c r="G146" i="1"/>
  <c r="DJ146" i="1" s="1"/>
  <c r="DJ144" i="1"/>
  <c r="DK144" i="1" l="1"/>
  <c r="AX147" i="1"/>
  <c r="DK135" i="1"/>
  <c r="BR146" i="1"/>
  <c r="CN146" i="1" s="1"/>
  <c r="G147" i="1"/>
  <c r="AB149" i="1"/>
  <c r="DK146" i="1"/>
  <c r="AA146" i="1"/>
  <c r="AW146" i="1" s="1"/>
  <c r="AB147" i="1"/>
  <c r="CO146" i="1"/>
  <c r="CO147" i="1" s="1"/>
  <c r="DL144" i="1"/>
  <c r="CO150" i="1" l="1"/>
  <c r="BS149" i="1"/>
  <c r="DL146" i="1"/>
</calcChain>
</file>

<file path=xl/sharedStrings.xml><?xml version="1.0" encoding="utf-8"?>
<sst xmlns="http://schemas.openxmlformats.org/spreadsheetml/2006/main" count="1746" uniqueCount="420">
  <si>
    <t>PLAN DE ACCION 2016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</si>
  <si>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</si>
  <si>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</si>
  <si>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</si>
  <si>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</si>
  <si>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</si>
  <si>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</si>
  <si>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</si>
  <si>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</si>
  <si>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</si>
  <si>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</si>
  <si>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</si>
  <si>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</si>
  <si>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</si>
  <si>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</si>
  <si>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</si>
  <si>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</si>
  <si>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NACION    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</si>
  <si>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</si>
  <si>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</si>
  <si>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</si>
  <si>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</si>
  <si>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</si>
  <si>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</si>
  <si>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</si>
  <si>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</si>
  <si>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</si>
  <si>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</si>
  <si>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</si>
  <si>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</si>
  <si>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</si>
  <si>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</si>
  <si>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</si>
  <si>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CANCELACION RESERVAS 2014 CREE Y DPTO.</t>
  </si>
  <si>
    <t>EXCED. FAC.</t>
  </si>
  <si>
    <t>%</t>
  </si>
  <si>
    <t>R.NACION FOMENTO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</si>
  <si>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</si>
  <si>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</si>
  <si>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</si>
  <si>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</si>
  <si>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</si>
  <si>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</si>
  <si>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</si>
  <si>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</si>
  <si>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</si>
  <si>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V.ACADEMICA
FACECO
F.C. SOCIALES
F. C. EXACTAS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</si>
  <si>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</si>
  <si>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</si>
  <si>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</si>
  <si>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</si>
  <si>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</si>
  <si>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</si>
  <si>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</si>
  <si>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</si>
  <si>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</si>
  <si>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</si>
  <si>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</si>
  <si>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
F.C. EXACTAS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</si>
  <si>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</si>
  <si>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</si>
  <si>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</si>
  <si>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</si>
  <si>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</si>
  <si>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</si>
  <si>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</si>
  <si>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</si>
  <si>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</si>
  <si>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
F.C.EXACTAS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</si>
  <si>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</si>
  <si>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</si>
  <si>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</si>
  <si>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</si>
  <si>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</si>
  <si>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</si>
  <si>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</si>
  <si>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</si>
  <si>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</si>
  <si>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</si>
  <si>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Convocatoria Banco Docentes Ocasionales 2017.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</si>
  <si>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</si>
  <si>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</si>
  <si>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</si>
  <si>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</si>
  <si>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</si>
  <si>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</si>
  <si>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</si>
  <si>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</si>
  <si>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</si>
  <si>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</si>
  <si>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</si>
  <si>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</si>
  <si>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</si>
  <si>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</si>
  <si>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</si>
  <si>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</si>
  <si>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</si>
  <si>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</si>
  <si>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</si>
  <si>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</si>
  <si>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</si>
  <si>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</si>
  <si>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</si>
  <si>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</si>
  <si>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</si>
  <si>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</si>
  <si>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</si>
  <si>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</si>
  <si>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</si>
  <si>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</si>
  <si>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</si>
  <si>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</si>
  <si>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</si>
  <si>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</si>
  <si>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</si>
  <si>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</si>
  <si>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</si>
  <si>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</si>
  <si>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</si>
  <si>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</si>
  <si>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</si>
  <si>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</si>
  <si>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</si>
  <si>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</si>
  <si>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</si>
  <si>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</si>
  <si>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</si>
  <si>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</si>
  <si>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</si>
  <si>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</si>
  <si>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</si>
  <si>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</si>
  <si>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</si>
  <si>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</si>
  <si>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</si>
  <si>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</si>
  <si>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</si>
  <si>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</si>
  <si>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</si>
  <si>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</si>
  <si>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</si>
  <si>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</si>
  <si>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</si>
  <si>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</si>
  <si>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</si>
  <si>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</si>
  <si>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</si>
  <si>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</si>
  <si>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</si>
  <si>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</si>
  <si>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</si>
  <si>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</si>
  <si>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</si>
  <si>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</si>
  <si>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</si>
  <si>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</si>
  <si>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</si>
  <si>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</si>
  <si>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</si>
  <si>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</si>
  <si>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</si>
  <si>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</si>
  <si>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</si>
  <si>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</si>
  <si>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</si>
  <si>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</si>
  <si>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</si>
  <si>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</si>
  <si>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</si>
  <si>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</si>
  <si>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</si>
  <si>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</si>
  <si>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</si>
  <si>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 xml:space="preserve">Capacitación a editores de revistas científicas;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</si>
  <si>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</si>
  <si>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</si>
  <si>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</si>
  <si>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</si>
  <si>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</si>
  <si>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</si>
  <si>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</si>
  <si>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</si>
  <si>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</si>
  <si>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</si>
  <si>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</si>
  <si>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</si>
  <si>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</si>
  <si>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</si>
  <si>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</si>
  <si>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</si>
  <si>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</si>
  <si>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</si>
  <si>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</si>
  <si>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</si>
  <si>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</si>
  <si>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</si>
  <si>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</si>
  <si>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</si>
  <si>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</si>
  <si>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</si>
  <si>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</si>
  <si>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</si>
  <si>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</si>
  <si>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</si>
  <si>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</si>
  <si>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</si>
  <si>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</si>
  <si>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</si>
  <si>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</si>
  <si>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</si>
  <si>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</si>
  <si>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</si>
  <si>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</si>
  <si>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</si>
  <si>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</si>
  <si>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</si>
  <si>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</si>
  <si>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</si>
  <si>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</si>
  <si>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</si>
  <si>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</si>
  <si>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</si>
  <si>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</si>
  <si>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</si>
  <si>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</si>
  <si>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</si>
  <si>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</si>
  <si>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</si>
  <si>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</si>
  <si>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</si>
  <si>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</si>
  <si>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</si>
  <si>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</si>
  <si>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</si>
  <si>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</si>
  <si>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</si>
  <si>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</si>
  <si>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</si>
  <si>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</si>
  <si>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</si>
  <si>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</si>
  <si>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</si>
  <si>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</si>
  <si>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</si>
  <si>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</si>
  <si>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</si>
  <si>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</si>
  <si>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</si>
  <si>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</si>
  <si>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</si>
  <si>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</si>
  <si>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</si>
  <si>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</si>
  <si>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</si>
  <si>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</si>
  <si>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</si>
  <si>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</si>
  <si>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</si>
  <si>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</si>
  <si>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</si>
  <si>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</si>
  <si>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
F.C. EXACTAS
F.C.J.P.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</si>
  <si>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</si>
  <si>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</si>
  <si>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</si>
  <si>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</si>
  <si>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</si>
  <si>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</si>
  <si>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</si>
  <si>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</si>
  <si>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</si>
  <si>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</si>
  <si>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</si>
  <si>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</si>
  <si>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</si>
  <si>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</si>
  <si>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</si>
  <si>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</si>
  <si>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</si>
  <si>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</si>
  <si>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</si>
  <si>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</si>
  <si>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</si>
  <si>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</si>
  <si>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</si>
  <si>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</si>
  <si>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</si>
  <si>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</si>
  <si>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</si>
  <si>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</si>
  <si>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</si>
  <si>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</si>
  <si>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</si>
  <si>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</si>
  <si>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</si>
  <si>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
F.C. EXACTAS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</si>
  <si>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</si>
  <si>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</si>
  <si>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</si>
  <si>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</si>
  <si>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</si>
  <si>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</si>
  <si>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</si>
  <si>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</si>
  <si>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</si>
  <si>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</si>
  <si>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SB-PY6.2</t>
  </si>
  <si>
    <t>Semestre Cero</t>
  </si>
  <si>
    <t>VIC. ACADEMICA</t>
  </si>
  <si>
    <t>SB-PY6.3</t>
  </si>
  <si>
    <t>Consejerías Académicas</t>
  </si>
  <si>
    <t>SB-PY6.4</t>
  </si>
  <si>
    <t>Formación para el fortalecimiento de las competencias genéricas (Saber Pro).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</si>
  <si>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</si>
  <si>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</si>
  <si>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</si>
  <si>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</si>
  <si>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</si>
  <si>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</si>
  <si>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</si>
  <si>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</si>
  <si>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
F.C.J.P.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</si>
  <si>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</si>
  <si>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</si>
  <si>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</si>
  <si>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</si>
  <si>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</si>
  <si>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</si>
  <si>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</si>
  <si>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</si>
  <si>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Mantenimiento de Equipos de Laboratorio,  Muebles, accesorios y equipos de Oficina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</si>
  <si>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</si>
  <si>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</si>
  <si>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</si>
  <si>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</si>
  <si>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</si>
  <si>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
F. C. EXACTAS</t>
  </si>
  <si>
    <t>SA-PY2b.5</t>
  </si>
  <si>
    <t>Adquisición bibliografía.</t>
  </si>
  <si>
    <t>SA-PY2b.6</t>
  </si>
  <si>
    <t>Dotación de elementos de aseo y cafetería.</t>
  </si>
  <si>
    <t>F.EDUCACION
F. SALUD
F.C. EXACTAS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</si>
  <si>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</si>
  <si>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</si>
  <si>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</si>
  <si>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</si>
  <si>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</si>
  <si>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</si>
  <si>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</si>
  <si>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</si>
  <si>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</si>
  <si>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</si>
  <si>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</si>
  <si>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</si>
  <si>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</si>
  <si>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</si>
  <si>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</si>
  <si>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</si>
  <si>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</si>
  <si>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</si>
  <si>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</si>
  <si>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</si>
  <si>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</si>
  <si>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</si>
  <si>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</si>
  <si>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</si>
  <si>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</si>
  <si>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</si>
  <si>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</si>
  <si>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</si>
  <si>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</si>
  <si>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</si>
  <si>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</si>
  <si>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</si>
  <si>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</si>
  <si>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</si>
  <si>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</si>
  <si>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</si>
  <si>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</si>
  <si>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</si>
  <si>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</si>
  <si>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</si>
  <si>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TRASLADO:</t>
  </si>
  <si>
    <t>DEL PROYECTO SB-PY5.1   $3.606.257</t>
  </si>
  <si>
    <t>DEL PROYECTO SB-PY5.3   $   154.067</t>
  </si>
  <si>
    <t>AL PROYECTO SB-PY5.2     $3.760.324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</si>
  <si>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</si>
  <si>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</si>
  <si>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</si>
  <si>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</si>
  <si>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</si>
  <si>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</si>
  <si>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</si>
  <si>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DE PROYECCION SOCIAL</t>
  </si>
  <si>
    <t>SUBSISTEMA BIENESTAR UNIVERSITARIO</t>
  </si>
  <si>
    <t>SUBSISTEMA ADMINISTRATIVO</t>
  </si>
  <si>
    <t>SUBSISTEMAS</t>
  </si>
  <si>
    <t>% EJECUTADO</t>
  </si>
  <si>
    <t>EJECUTADO ENERO A JUNIO</t>
  </si>
  <si>
    <t>% EJECUCION ACUMULADA</t>
  </si>
  <si>
    <t xml:space="preserve">        % EJECUCION ACUMULADA</t>
  </si>
  <si>
    <t>BIENESTAR</t>
  </si>
  <si>
    <t>EJECUCIÓN TOTAL</t>
  </si>
  <si>
    <t>EJECUCIÓN  POR SUBSISTEMAS EN DICIEMBRE Y ACUMULADO DE ENERO A DICIEMBRE DE 2016</t>
  </si>
  <si>
    <t>EJECUTADO DICIEMBRE</t>
  </si>
  <si>
    <t>EJECUTADO ENERO A DICIEMBRE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</si>
  <si>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</si>
  <si>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</si>
  <si>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</si>
  <si>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</si>
  <si>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</si>
  <si>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</si>
  <si>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</si>
  <si>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</si>
  <si>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</si>
  <si>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</si>
  <si>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</si>
  <si>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</si>
  <si>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PROY. INSTITUCIONALES</t>
  </si>
  <si>
    <t>EXCEDENTES USCO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</si>
</sst>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1"/>
      <name val="Arial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2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4" fillId="0" borderId="0"/>
  </cellStyleXfs>
  <cellXfs count="305">
    <xf numFmtId="0" fontId="0" fillId="0" borderId="0" xfId="0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5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7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1" fillId="3" borderId="10" xfId="0" applyNumberFormat="1" applyFont="1" applyFill="1" applyBorder="1" applyAlignment="1">
      <alignment horizontal="right" vertical="center" wrapText="1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7" borderId="1" xfId="0" applyFill="1" applyBorder="1" applyAlignment="1">
      <alignment textRotation="255"/>
    </xf>
    <xf numFmtId="3" fontId="10" fillId="7" borderId="16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vertical="center" wrapText="1"/>
    </xf>
    <xf numFmtId="10" fontId="12" fillId="7" borderId="16" xfId="0" applyNumberFormat="1" applyFont="1" applyFill="1" applyBorder="1" applyAlignment="1">
      <alignment horizontal="center" vertical="center"/>
    </xf>
    <xf numFmtId="3" fontId="9" fillId="7" borderId="16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3" fontId="9" fillId="7" borderId="7" xfId="0" applyNumberFormat="1" applyFont="1" applyFill="1" applyBorder="1" applyAlignment="1">
      <alignment vertical="center" wrapText="1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3" fontId="0" fillId="3" borderId="0" xfId="0" applyNumberFormat="1" applyFill="1" applyAlignment="1">
      <alignment vertical="center"/>
    </xf>
    <xf numFmtId="3" fontId="0" fillId="0" borderId="0" xfId="0" applyNumberFormat="1"/>
    <xf numFmtId="0" fontId="9" fillId="3" borderId="1" xfId="0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right" vertical="center" wrapText="1"/>
    </xf>
    <xf numFmtId="3" fontId="15" fillId="7" borderId="2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7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0" fillId="0" borderId="3" xfId="0" applyFont="1" applyBorder="1"/>
    <xf numFmtId="0" fontId="0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0" xfId="0" applyFont="1" applyFill="1" applyBorder="1"/>
    <xf numFmtId="0" fontId="9" fillId="3" borderId="0" xfId="0" applyFont="1" applyFill="1" applyBorder="1" applyAlignment="1">
      <alignment horizontal="center" textRotation="255" wrapText="1"/>
    </xf>
    <xf numFmtId="3" fontId="1" fillId="3" borderId="0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Alignment="1">
      <alignment horizontal="right"/>
    </xf>
    <xf numFmtId="3" fontId="13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9" fillId="0" borderId="2" xfId="0" applyFont="1" applyFill="1" applyBorder="1" applyAlignment="1">
      <alignment horizontal="left" vertical="top" wrapText="1"/>
    </xf>
    <xf numFmtId="0" fontId="9" fillId="0" borderId="18" xfId="0" applyFont="1" applyFill="1" applyBorder="1" applyAlignment="1">
      <alignment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6" xfId="0" applyFill="1" applyBorder="1"/>
    <xf numFmtId="0" fontId="8" fillId="7" borderId="14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3" fontId="19" fillId="3" borderId="4" xfId="0" applyNumberFormat="1" applyFont="1" applyFill="1" applyBorder="1" applyAlignment="1">
      <alignment horizontal="right" vertical="center" wrapText="1"/>
    </xf>
    <xf numFmtId="3" fontId="19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19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8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8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8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right" wrapText="1"/>
    </xf>
    <xf numFmtId="0" fontId="8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8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3" fillId="0" borderId="16" xfId="0" applyNumberFormat="1" applyFont="1" applyBorder="1"/>
    <xf numFmtId="3" fontId="13" fillId="3" borderId="16" xfId="0" applyNumberFormat="1" applyFont="1" applyFill="1" applyBorder="1"/>
    <xf numFmtId="10" fontId="0" fillId="3" borderId="16" xfId="0" applyNumberFormat="1" applyFill="1" applyBorder="1" applyAlignment="1">
      <alignment horizontal="center" vertical="center"/>
    </xf>
    <xf numFmtId="3" fontId="13" fillId="0" borderId="15" xfId="0" applyNumberFormat="1" applyFont="1" applyBorder="1"/>
    <xf numFmtId="3" fontId="13" fillId="0" borderId="15" xfId="0" applyNumberFormat="1" applyFont="1" applyFill="1" applyBorder="1" applyAlignment="1">
      <alignment horizontal="right" vertical="center" wrapText="1"/>
    </xf>
    <xf numFmtId="10" fontId="9" fillId="3" borderId="16" xfId="0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horizontal="right" vertical="center" wrapText="1"/>
    </xf>
    <xf numFmtId="3" fontId="13" fillId="0" borderId="13" xfId="0" applyNumberFormat="1" applyFont="1" applyBorder="1"/>
    <xf numFmtId="10" fontId="12" fillId="0" borderId="16" xfId="0" applyNumberFormat="1" applyFont="1" applyBorder="1" applyAlignment="1">
      <alignment horizontal="center" vertical="center"/>
    </xf>
    <xf numFmtId="3" fontId="8" fillId="0" borderId="16" xfId="0" applyNumberFormat="1" applyFont="1" applyBorder="1"/>
    <xf numFmtId="0" fontId="0" fillId="0" borderId="0" xfId="0" applyBorder="1"/>
    <xf numFmtId="165" fontId="20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Border="1"/>
    <xf numFmtId="3" fontId="13" fillId="0" borderId="0" xfId="0" applyNumberFormat="1" applyFont="1" applyBorder="1"/>
    <xf numFmtId="0" fontId="21" fillId="0" borderId="0" xfId="0" applyFont="1" applyFill="1" applyBorder="1"/>
    <xf numFmtId="0" fontId="21" fillId="0" borderId="0" xfId="0" applyFont="1" applyBorder="1"/>
    <xf numFmtId="3" fontId="0" fillId="0" borderId="0" xfId="0" applyNumberFormat="1" applyBorder="1"/>
    <xf numFmtId="10" fontId="9" fillId="0" borderId="16" xfId="0" applyNumberFormat="1" applyFont="1" applyBorder="1" applyAlignment="1">
      <alignment horizontal="center" vertical="center"/>
    </xf>
    <xf numFmtId="10" fontId="17" fillId="7" borderId="16" xfId="0" applyNumberFormat="1" applyFont="1" applyFill="1" applyBorder="1" applyAlignment="1">
      <alignment horizontal="center" vertical="center"/>
    </xf>
    <xf numFmtId="10" fontId="17" fillId="7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3" fillId="0" borderId="4" xfId="0" applyFont="1" applyBorder="1" applyAlignment="1"/>
    <xf numFmtId="0" fontId="3" fillId="0" borderId="5" xfId="0" applyFont="1" applyBorder="1" applyAlignment="1"/>
    <xf numFmtId="0" fontId="0" fillId="6" borderId="8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5" borderId="8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3" fontId="7" fillId="0" borderId="11" xfId="0" applyNumberFormat="1" applyFont="1" applyBorder="1" applyAlignment="1">
      <alignment horizontal="center" wrapText="1"/>
    </xf>
    <xf numFmtId="3" fontId="0" fillId="0" borderId="11" xfId="0" applyNumberFormat="1" applyBorder="1"/>
    <xf numFmtId="3" fontId="0" fillId="0" borderId="8" xfId="0" applyNumberFormat="1" applyBorder="1" applyAlignment="1">
      <alignment horizontal="center" wrapText="1"/>
    </xf>
    <xf numFmtId="0" fontId="8" fillId="0" borderId="1" xfId="0" applyFont="1" applyBorder="1" applyAlignment="1">
      <alignment wrapText="1"/>
    </xf>
    <xf numFmtId="3" fontId="26" fillId="3" borderId="1" xfId="0" applyNumberFormat="1" applyFont="1" applyFill="1" applyBorder="1" applyAlignment="1">
      <alignment vertical="center" wrapText="1"/>
    </xf>
    <xf numFmtId="4" fontId="0" fillId="0" borderId="1" xfId="0" applyNumberFormat="1" applyBorder="1" applyAlignment="1">
      <alignment horizontal="center"/>
    </xf>
    <xf numFmtId="10" fontId="12" fillId="3" borderId="1" xfId="0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3" fontId="12" fillId="3" borderId="1" xfId="0" applyNumberFormat="1" applyFont="1" applyFill="1" applyBorder="1" applyAlignment="1">
      <alignment vertical="center" wrapText="1"/>
    </xf>
    <xf numFmtId="10" fontId="0" fillId="0" borderId="1" xfId="0" applyNumberFormat="1" applyBorder="1" applyAlignment="1">
      <alignment horizontal="center"/>
    </xf>
    <xf numFmtId="3" fontId="26" fillId="3" borderId="7" xfId="0" applyNumberFormat="1" applyFont="1" applyFill="1" applyBorder="1" applyAlignment="1">
      <alignment vertical="center" wrapText="1"/>
    </xf>
    <xf numFmtId="3" fontId="0" fillId="0" borderId="7" xfId="0" applyNumberFormat="1" applyBorder="1"/>
    <xf numFmtId="3" fontId="12" fillId="3" borderId="7" xfId="0" applyNumberFormat="1" applyFont="1" applyFill="1" applyBorder="1" applyAlignment="1">
      <alignment vertical="center" wrapText="1"/>
    </xf>
    <xf numFmtId="3" fontId="27" fillId="3" borderId="16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center"/>
    </xf>
    <xf numFmtId="10" fontId="12" fillId="3" borderId="16" xfId="0" applyNumberFormat="1" applyFont="1" applyFill="1" applyBorder="1" applyAlignment="1">
      <alignment horizontal="center" vertical="center"/>
    </xf>
    <xf numFmtId="3" fontId="12" fillId="3" borderId="16" xfId="0" applyNumberFormat="1" applyFont="1" applyFill="1" applyBorder="1" applyAlignment="1">
      <alignment vertical="center" wrapText="1"/>
    </xf>
    <xf numFmtId="0" fontId="0" fillId="0" borderId="14" xfId="0" applyBorder="1"/>
    <xf numFmtId="10" fontId="0" fillId="0" borderId="16" xfId="0" applyNumberFormat="1" applyBorder="1" applyAlignment="1">
      <alignment horizontal="center"/>
    </xf>
    <xf numFmtId="3" fontId="25" fillId="7" borderId="16" xfId="0" applyNumberFormat="1" applyFont="1" applyFill="1" applyBorder="1" applyAlignment="1">
      <alignment vertical="center" wrapText="1"/>
    </xf>
    <xf numFmtId="0" fontId="25" fillId="3" borderId="0" xfId="0" applyFont="1" applyFill="1" applyBorder="1" applyAlignment="1">
      <alignment vertical="center"/>
    </xf>
    <xf numFmtId="0" fontId="25" fillId="3" borderId="0" xfId="0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horizontal="center" vertical="center" wrapText="1"/>
    </xf>
    <xf numFmtId="10" fontId="12" fillId="3" borderId="0" xfId="0" applyNumberFormat="1" applyFont="1" applyFill="1" applyBorder="1" applyAlignment="1">
      <alignment horizontal="center" vertical="center"/>
    </xf>
    <xf numFmtId="0" fontId="29" fillId="3" borderId="0" xfId="0" applyFont="1" applyFill="1" applyBorder="1"/>
    <xf numFmtId="0" fontId="28" fillId="3" borderId="0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horizontal="center" vertical="center" wrapText="1"/>
    </xf>
    <xf numFmtId="0" fontId="29" fillId="3" borderId="0" xfId="0" applyFont="1" applyFill="1" applyBorder="1" applyAlignment="1"/>
    <xf numFmtId="3" fontId="30" fillId="3" borderId="0" xfId="0" applyNumberFormat="1" applyFont="1" applyFill="1" applyBorder="1" applyAlignment="1">
      <alignment vertical="center" wrapText="1"/>
    </xf>
    <xf numFmtId="3" fontId="31" fillId="3" borderId="0" xfId="0" applyNumberFormat="1" applyFont="1" applyFill="1" applyBorder="1" applyAlignment="1">
      <alignment vertical="center" wrapText="1"/>
    </xf>
    <xf numFmtId="10" fontId="29" fillId="3" borderId="0" xfId="0" applyNumberFormat="1" applyFont="1" applyFill="1" applyBorder="1"/>
    <xf numFmtId="0" fontId="29" fillId="0" borderId="0" xfId="0" applyFont="1"/>
    <xf numFmtId="0" fontId="29" fillId="3" borderId="0" xfId="0" applyFont="1" applyFill="1" applyBorder="1" applyAlignment="1">
      <alignment horizontal="left"/>
    </xf>
    <xf numFmtId="0" fontId="29" fillId="3" borderId="0" xfId="0" applyFont="1" applyFill="1" applyBorder="1" applyAlignment="1">
      <alignment horizontal="left" vertical="center"/>
    </xf>
    <xf numFmtId="0" fontId="29" fillId="3" borderId="0" xfId="0" applyFont="1" applyFill="1"/>
    <xf numFmtId="3" fontId="29" fillId="3" borderId="0" xfId="0" applyNumberFormat="1" applyFont="1" applyFill="1"/>
    <xf numFmtId="10" fontId="29" fillId="3" borderId="0" xfId="0" applyNumberFormat="1" applyFont="1" applyFill="1"/>
    <xf numFmtId="0" fontId="29" fillId="3" borderId="0" xfId="0" applyFont="1" applyFill="1" applyBorder="1" applyAlignment="1">
      <alignment horizontal="center"/>
    </xf>
    <xf numFmtId="3" fontId="29" fillId="3" borderId="0" xfId="0" applyNumberFormat="1" applyFont="1" applyFill="1" applyBorder="1" applyAlignme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4" fillId="7" borderId="13" xfId="0" applyFont="1" applyFill="1" applyBorder="1" applyAlignment="1">
      <alignment horizontal="center" vertical="center" wrapText="1"/>
    </xf>
    <xf numFmtId="0" fontId="14" fillId="7" borderId="14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25" fillId="3" borderId="8" xfId="0" applyFont="1" applyFill="1" applyBorder="1" applyAlignment="1">
      <alignment horizontal="right" vertical="center"/>
    </xf>
    <xf numFmtId="0" fontId="25" fillId="3" borderId="9" xfId="0" applyFont="1" applyFill="1" applyBorder="1" applyAlignment="1">
      <alignment horizontal="right" vertical="center"/>
    </xf>
    <xf numFmtId="0" fontId="25" fillId="3" borderId="10" xfId="0" applyFont="1" applyFill="1" applyBorder="1" applyAlignment="1">
      <alignment horizontal="right" vertical="center"/>
    </xf>
    <xf numFmtId="0" fontId="25" fillId="0" borderId="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9" fillId="3" borderId="8" xfId="0" applyFont="1" applyFill="1" applyBorder="1" applyAlignment="1">
      <alignment horizontal="right" vertical="center"/>
    </xf>
    <xf numFmtId="0" fontId="9" fillId="3" borderId="9" xfId="0" applyFont="1" applyFill="1" applyBorder="1" applyAlignment="1">
      <alignment horizontal="right" vertical="center"/>
    </xf>
    <xf numFmtId="0" fontId="9" fillId="3" borderId="10" xfId="0" applyFont="1" applyFill="1" applyBorder="1" applyAlignment="1">
      <alignment horizontal="right" vertical="center"/>
    </xf>
    <xf numFmtId="0" fontId="16" fillId="7" borderId="13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left" vertical="center" wrapText="1"/>
    </xf>
    <xf numFmtId="0" fontId="14" fillId="7" borderId="13" xfId="0" applyFont="1" applyFill="1" applyBorder="1" applyAlignment="1">
      <alignment horizontal="left" vertical="center" wrapText="1"/>
    </xf>
    <xf numFmtId="0" fontId="14" fillId="7" borderId="14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29" fillId="3" borderId="0" xfId="0" applyFont="1" applyFill="1" applyBorder="1" applyAlignment="1">
      <alignment horizontal="left" vertical="center"/>
    </xf>
    <xf numFmtId="0" fontId="29" fillId="3" borderId="0" xfId="0" applyFont="1" applyFill="1" applyBorder="1" applyAlignment="1">
      <alignment horizontal="center"/>
    </xf>
    <xf numFmtId="0" fontId="28" fillId="3" borderId="0" xfId="0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left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10" Type="http://schemas.openxmlformats.org/officeDocument/2006/relationships/externalLink" Target="externalLinks/externalLink7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 b="1" i="0" baseline="0">
                <a:effectLst/>
              </a:rPr>
              <a:t>EJECUCION PLAN DE ACCION POR SUBSISTEMAS  A 31 DE DICIEMBRE DE 2016 </a:t>
            </a:r>
          </a:p>
        </c:rich>
      </c:tx>
      <c:layout>
        <c:manualLayout>
          <c:xMode val="edge"/>
          <c:yMode val="edge"/>
          <c:x val="0.19499882553591308"/>
          <c:y val="4.0357679428002537E-2"/>
        </c:manualLayout>
      </c:layout>
      <c:overlay val="0"/>
      <c:spPr>
        <a:solidFill>
          <a:schemeClr val="bg1"/>
        </a:solidFill>
      </c:sp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7487055363215782E-2"/>
          <c:y val="0.17650779859414126"/>
          <c:w val="0.93455140578244844"/>
          <c:h val="0.6507296587926508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CONSOLIDADO'!$DL$3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0"/>
                  <c:y val="-6.13026819923371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311416812198086E-2"/>
                  <c:y val="-6.13026819923371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8515783776055232E-2"/>
                  <c:y val="-3.06537544875856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8176033934252389E-2"/>
                  <c:y val="-1.2260536398467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CONSOLIDADO'!$DJ$4:$DK$132</c:f>
              <c:strCache>
                <c:ptCount val="6"/>
                <c:pt idx="1">
                  <c:v>S. FORMACION</c:v>
                </c:pt>
                <c:pt idx="2">
                  <c:v>S. INVESTIGACION</c:v>
                </c:pt>
                <c:pt idx="3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'P. ACCIÓN CONSOLIDADO'!$DL$4:$DL$132</c:f>
              <c:numCache>
                <c:formatCode>#,##0</c:formatCode>
                <c:ptCount val="6"/>
                <c:pt idx="1">
                  <c:v>1515480977</c:v>
                </c:pt>
                <c:pt idx="2">
                  <c:v>6304612321</c:v>
                </c:pt>
                <c:pt idx="3">
                  <c:v>1790134547</c:v>
                </c:pt>
                <c:pt idx="4">
                  <c:v>2969123548</c:v>
                </c:pt>
                <c:pt idx="5">
                  <c:v>12695395182</c:v>
                </c:pt>
              </c:numCache>
            </c:numRef>
          </c:val>
        </c:ser>
        <c:ser>
          <c:idx val="1"/>
          <c:order val="1"/>
          <c:tx>
            <c:strRef>
              <c:f>'P. ACCIÓN CONSOLIDADO'!$DM$3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3.5019455252918288E-2"/>
                  <c:y val="9.19540229885057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8910505836575876E-2"/>
                  <c:y val="4.9042145593869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5233718353299222E-2"/>
                  <c:y val="3.34290282680182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362672322375397E-2"/>
                  <c:y val="1.5325670498084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090137857900318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CONSOLIDADO'!$DJ$4:$DK$132</c:f>
              <c:strCache>
                <c:ptCount val="6"/>
                <c:pt idx="1">
                  <c:v>S. FORMACION</c:v>
                </c:pt>
                <c:pt idx="2">
                  <c:v>S. INVESTIGACION</c:v>
                </c:pt>
                <c:pt idx="3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'P. ACCIÓN CONSOLIDADO'!$DM$4:$DM$132</c:f>
              <c:numCache>
                <c:formatCode>#,##0</c:formatCode>
                <c:ptCount val="6"/>
                <c:pt idx="1">
                  <c:v>1150515565</c:v>
                </c:pt>
                <c:pt idx="2">
                  <c:v>5469960688</c:v>
                </c:pt>
                <c:pt idx="3">
                  <c:v>1684702369</c:v>
                </c:pt>
                <c:pt idx="4">
                  <c:v>2739786552</c:v>
                </c:pt>
                <c:pt idx="5">
                  <c:v>10059731289</c:v>
                </c:pt>
              </c:numCache>
            </c:numRef>
          </c:val>
        </c:ser>
        <c:ser>
          <c:idx val="2"/>
          <c:order val="2"/>
          <c:tx>
            <c:strRef>
              <c:f>'P. ACCIÓN CONSOLIDADO'!$DN$3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1.0376134889753566E-2"/>
                  <c:y val="3.06513409961685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8158236057068743E-2"/>
                  <c:y val="-1.2260536398467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965654585005667E-2"/>
                  <c:y val="6.13026819923371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686461647225178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84714605226875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CONSOLIDADO'!$DJ$4:$DK$132</c:f>
              <c:strCache>
                <c:ptCount val="6"/>
                <c:pt idx="1">
                  <c:v>S. FORMACION</c:v>
                </c:pt>
                <c:pt idx="2">
                  <c:v>S. INVESTIGACION</c:v>
                </c:pt>
                <c:pt idx="3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'P. ACCIÓN CONSOLIDADO'!$DN$4:$DN$132</c:f>
              <c:numCache>
                <c:formatCode>0.00%</c:formatCode>
                <c:ptCount val="6"/>
                <c:pt idx="1">
                  <c:v>0.75919999999999999</c:v>
                </c:pt>
                <c:pt idx="2">
                  <c:v>0.86760000000000004</c:v>
                </c:pt>
                <c:pt idx="3">
                  <c:v>0.94110000000000005</c:v>
                </c:pt>
                <c:pt idx="4">
                  <c:v>0.92279999999999995</c:v>
                </c:pt>
                <c:pt idx="5">
                  <c:v>0.79239999999999999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5267200"/>
        <c:axId val="46305280"/>
        <c:axId val="0"/>
      </c:bar3DChart>
      <c:catAx>
        <c:axId val="45267200"/>
        <c:scaling>
          <c:orientation val="minMax"/>
        </c:scaling>
        <c:delete val="0"/>
        <c:axPos val="b"/>
        <c:majorTickMark val="none"/>
        <c:minorTickMark val="none"/>
        <c:tickLblPos val="nextTo"/>
        <c:crossAx val="46305280"/>
        <c:crosses val="autoZero"/>
        <c:auto val="1"/>
        <c:lblAlgn val="ctr"/>
        <c:lblOffset val="100"/>
        <c:noMultiLvlLbl val="0"/>
      </c:catAx>
      <c:valAx>
        <c:axId val="463052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4526720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1.7572665558904816E-2"/>
          <c:y val="0.24282812924246538"/>
          <c:w val="0.37386884433719381"/>
          <c:h val="0.10281425166681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1" i="0" baseline="0">
                <a:effectLst/>
              </a:rPr>
              <a:t>EJECUCION PLAN DE ACCION POR RUBROS PRESUPUESTALES  A 31 DE DICIEMBRE DE 2016</a:t>
            </a:r>
            <a:r>
              <a:rPr lang="en-US" sz="1800" b="1" i="0" baseline="0">
                <a:effectLst/>
              </a:rPr>
              <a:t> </a:t>
            </a:r>
            <a:endParaRPr lang="es-CO"/>
          </a:p>
        </c:rich>
      </c:tx>
      <c:layout>
        <c:manualLayout>
          <c:xMode val="edge"/>
          <c:yMode val="edge"/>
          <c:x val="0.13604967914399874"/>
          <c:y val="6.5539950263555358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4211887750705787E-2"/>
          <c:y val="0.20605116785047145"/>
          <c:w val="0.97157622449858838"/>
          <c:h val="0.692982227777893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CONSOLIDADO'!$DL$136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5.0387602025229634E-2"/>
                  <c:y val="-5.4200518873943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9.0439285686309562E-3"/>
                  <c:y val="-1.3550129718485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963826523818036E-2"/>
                  <c:y val="-5.4200518873943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0671836728299326E-2"/>
                  <c:y val="-2.71002594369718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16279081596683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CONSOLIDADO'!$DJ$137:$DK$144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BIENESTAR</c:v>
                </c:pt>
              </c:strCache>
            </c:strRef>
          </c:cat>
          <c:val>
            <c:numRef>
              <c:f>'P. ACCIÓN CONSOLIDADO'!$DL$137:$DL$144</c:f>
              <c:numCache>
                <c:formatCode>#,##0</c:formatCode>
                <c:ptCount val="8"/>
                <c:pt idx="0">
                  <c:v>4844937690</c:v>
                </c:pt>
                <c:pt idx="1">
                  <c:v>4027310612</c:v>
                </c:pt>
                <c:pt idx="2">
                  <c:v>1070346880</c:v>
                </c:pt>
                <c:pt idx="3">
                  <c:v>6304612321</c:v>
                </c:pt>
                <c:pt idx="4">
                  <c:v>1083280977</c:v>
                </c:pt>
                <c:pt idx="5">
                  <c:v>1790134547</c:v>
                </c:pt>
                <c:pt idx="6">
                  <c:v>3185000000</c:v>
                </c:pt>
                <c:pt idx="7">
                  <c:v>2969123548</c:v>
                </c:pt>
              </c:numCache>
            </c:numRef>
          </c:val>
        </c:ser>
        <c:ser>
          <c:idx val="1"/>
          <c:order val="1"/>
          <c:tx>
            <c:strRef>
              <c:f>'P. ACCIÓN CONSOLIDADO'!$DM$136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8759592134081276E-2"/>
                  <c:y val="-1.6260155662183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6175714274523846E-2"/>
                  <c:y val="-2.71002594369718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131785705892867E-2"/>
                  <c:y val="5.42005188739446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5891479571454109E-2"/>
                  <c:y val="2.71002594369718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0051683661079945E-2"/>
                  <c:y val="1.89699682180107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6175714274523825E-2"/>
                  <c:y val="3.5230337268063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2299744887967698E-2"/>
                  <c:y val="3.2520311324366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0051683661079945E-2"/>
                  <c:y val="2.71002594369718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CONSOLIDADO'!$DJ$137:$DK$144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BIENESTAR</c:v>
                </c:pt>
              </c:strCache>
            </c:strRef>
          </c:cat>
          <c:val>
            <c:numRef>
              <c:f>'P. ACCIÓN CONSOLIDADO'!$DM$137:$DM$144</c:f>
              <c:numCache>
                <c:formatCode>#,##0</c:formatCode>
                <c:ptCount val="8"/>
                <c:pt idx="0">
                  <c:v>3820023517</c:v>
                </c:pt>
                <c:pt idx="1">
                  <c:v>3208856381</c:v>
                </c:pt>
                <c:pt idx="2">
                  <c:v>703107213</c:v>
                </c:pt>
                <c:pt idx="3">
                  <c:v>5469960688</c:v>
                </c:pt>
                <c:pt idx="4">
                  <c:v>993716375</c:v>
                </c:pt>
                <c:pt idx="5">
                  <c:v>1684702369</c:v>
                </c:pt>
                <c:pt idx="6">
                  <c:v>2484543368</c:v>
                </c:pt>
                <c:pt idx="7">
                  <c:v>2739786552</c:v>
                </c:pt>
              </c:numCache>
            </c:numRef>
          </c:val>
        </c:ser>
        <c:ser>
          <c:idx val="2"/>
          <c:order val="2"/>
          <c:tx>
            <c:strRef>
              <c:f>'P. ACCIÓN CONSOLIDADO'!$DN$136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50387754622449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8785713726191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4211887750705835E-2"/>
                  <c:y val="-8.13007783109155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9379846932780619E-2"/>
                  <c:y val="-5.4200518873943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808785713726191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08785713726191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0671836728299326E-2"/>
                  <c:y val="5.4200518873943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196382652381803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CONSOLIDADO'!$DJ$137:$DK$144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BIENESTAR</c:v>
                </c:pt>
              </c:strCache>
            </c:strRef>
          </c:cat>
          <c:val>
            <c:numRef>
              <c:f>'P. ACCIÓN CONSOLIDADO'!$DN$137:$DN$144</c:f>
              <c:numCache>
                <c:formatCode>0.00%</c:formatCode>
                <c:ptCount val="8"/>
                <c:pt idx="0">
                  <c:v>0.78849999999999998</c:v>
                </c:pt>
                <c:pt idx="1">
                  <c:v>0.79679999999999995</c:v>
                </c:pt>
                <c:pt idx="2">
                  <c:v>0.65690000000000004</c:v>
                </c:pt>
                <c:pt idx="3">
                  <c:v>0.86760000000000004</c:v>
                </c:pt>
                <c:pt idx="4">
                  <c:v>0.9173</c:v>
                </c:pt>
                <c:pt idx="5">
                  <c:v>0.94110000000000005</c:v>
                </c:pt>
                <c:pt idx="6">
                  <c:v>0.78010000000000002</c:v>
                </c:pt>
                <c:pt idx="7">
                  <c:v>0.92279999999999995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7254528"/>
        <c:axId val="47284992"/>
        <c:axId val="0"/>
      </c:bar3DChart>
      <c:catAx>
        <c:axId val="47254528"/>
        <c:scaling>
          <c:orientation val="minMax"/>
        </c:scaling>
        <c:delete val="0"/>
        <c:axPos val="b"/>
        <c:majorTickMark val="none"/>
        <c:minorTickMark val="none"/>
        <c:tickLblPos val="nextTo"/>
        <c:crossAx val="47284992"/>
        <c:crosses val="autoZero"/>
        <c:auto val="1"/>
        <c:lblAlgn val="ctr"/>
        <c:lblOffset val="100"/>
        <c:noMultiLvlLbl val="0"/>
      </c:catAx>
      <c:valAx>
        <c:axId val="47284992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4725452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1.3941282014006594E-2"/>
          <c:y val="0.18143645031839603"/>
          <c:w val="0.32999840586770901"/>
          <c:h val="2.67345126285075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155</xdr:row>
      <xdr:rowOff>152399</xdr:rowOff>
    </xdr:from>
    <xdr:to>
      <xdr:col>49</xdr:col>
      <xdr:colOff>647700</xdr:colOff>
      <xdr:row>177</xdr:row>
      <xdr:rowOff>104774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28575</xdr:colOff>
      <xdr:row>181</xdr:row>
      <xdr:rowOff>171450</xdr:rowOff>
    </xdr:from>
    <xdr:to>
      <xdr:col>49</xdr:col>
      <xdr:colOff>714374</xdr:colOff>
      <xdr:row>206</xdr:row>
      <xdr:rowOff>95252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OCTUBRE%20DE%20201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SEPTIEMBRE%20201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NIO%20201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0%20DE%20NOVIEMBRE%20DE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DICIEMBRE%2027%20DE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DICIEMBRE%202016%20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NOVIEMBRE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YO%202016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LIO%2020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GOSTO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6"/>
    </sheetNames>
    <sheetDataSet>
      <sheetData sheetId="0">
        <row r="18">
          <cell r="AG18">
            <v>2995259</v>
          </cell>
        </row>
        <row r="104">
          <cell r="U104">
            <v>35000000</v>
          </cell>
        </row>
        <row r="105">
          <cell r="H105">
            <v>2900000</v>
          </cell>
        </row>
        <row r="107">
          <cell r="U107">
            <v>30000000</v>
          </cell>
        </row>
        <row r="109">
          <cell r="H109">
            <v>11738040</v>
          </cell>
        </row>
        <row r="111">
          <cell r="H111">
            <v>95583992</v>
          </cell>
        </row>
        <row r="113">
          <cell r="U113">
            <v>5000000</v>
          </cell>
        </row>
        <row r="326">
          <cell r="H326">
            <v>325100993</v>
          </cell>
        </row>
        <row r="764">
          <cell r="H764">
            <v>7800000</v>
          </cell>
        </row>
        <row r="856">
          <cell r="H856">
            <v>870000</v>
          </cell>
        </row>
        <row r="870">
          <cell r="H870">
            <v>1858369</v>
          </cell>
        </row>
        <row r="871">
          <cell r="H871">
            <v>1858369</v>
          </cell>
        </row>
        <row r="1325">
          <cell r="H1325">
            <v>47646755</v>
          </cell>
        </row>
        <row r="1327">
          <cell r="Y1327">
            <v>47646755</v>
          </cell>
        </row>
        <row r="1347">
          <cell r="M1347">
            <v>30000000</v>
          </cell>
        </row>
        <row r="1538">
          <cell r="V1538">
            <v>11226743</v>
          </cell>
        </row>
        <row r="1583">
          <cell r="V1583">
            <v>670000</v>
          </cell>
        </row>
        <row r="1584">
          <cell r="V1584">
            <v>1000000</v>
          </cell>
        </row>
        <row r="1585">
          <cell r="V1585">
            <v>1200000</v>
          </cell>
        </row>
        <row r="1586">
          <cell r="V1586">
            <v>826743</v>
          </cell>
        </row>
        <row r="1587">
          <cell r="V1587">
            <v>1500000</v>
          </cell>
        </row>
        <row r="1588">
          <cell r="V1588">
            <v>115000</v>
          </cell>
        </row>
        <row r="1589">
          <cell r="V1589">
            <v>5915000</v>
          </cell>
        </row>
        <row r="2871">
          <cell r="H2871">
            <v>3686675</v>
          </cell>
        </row>
        <row r="2873">
          <cell r="H2873">
            <v>647000</v>
          </cell>
        </row>
        <row r="2876">
          <cell r="H2876">
            <v>1116667</v>
          </cell>
        </row>
        <row r="2878">
          <cell r="H2878">
            <v>7362012</v>
          </cell>
        </row>
        <row r="2880">
          <cell r="H2880">
            <v>126000</v>
          </cell>
        </row>
        <row r="2883">
          <cell r="H2883">
            <v>1000000</v>
          </cell>
        </row>
        <row r="2884">
          <cell r="Y2884">
            <v>413674</v>
          </cell>
        </row>
        <row r="2885">
          <cell r="Y2885">
            <v>1100000</v>
          </cell>
        </row>
        <row r="2927">
          <cell r="H2927">
            <v>25000000</v>
          </cell>
        </row>
        <row r="3263">
          <cell r="W3263">
            <v>7576000</v>
          </cell>
        </row>
        <row r="3396">
          <cell r="H3396">
            <v>2559500</v>
          </cell>
        </row>
        <row r="3398">
          <cell r="AG3398">
            <v>2559500</v>
          </cell>
        </row>
        <row r="3871">
          <cell r="O3871">
            <v>10000000</v>
          </cell>
        </row>
        <row r="3947">
          <cell r="AG3947">
            <v>1000000</v>
          </cell>
        </row>
        <row r="3956">
          <cell r="H3956">
            <v>33050686</v>
          </cell>
        </row>
        <row r="4006">
          <cell r="H4006">
            <v>605726</v>
          </cell>
        </row>
        <row r="4007">
          <cell r="H4007">
            <v>2052788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6"/>
    </sheetNames>
    <sheetDataSet>
      <sheetData sheetId="0">
        <row r="9">
          <cell r="G9">
            <v>18933220687</v>
          </cell>
        </row>
        <row r="167">
          <cell r="H167">
            <v>46638552</v>
          </cell>
        </row>
        <row r="176">
          <cell r="H176">
            <v>9767200</v>
          </cell>
        </row>
        <row r="178">
          <cell r="H178">
            <v>9860000</v>
          </cell>
        </row>
        <row r="179">
          <cell r="H179">
            <v>34631160</v>
          </cell>
        </row>
        <row r="181">
          <cell r="H181">
            <v>14778400</v>
          </cell>
        </row>
        <row r="184">
          <cell r="H184">
            <v>9655985</v>
          </cell>
        </row>
        <row r="187">
          <cell r="H187">
            <v>7442560</v>
          </cell>
        </row>
        <row r="189">
          <cell r="H189">
            <v>24972480</v>
          </cell>
        </row>
        <row r="191">
          <cell r="H191">
            <v>25731120</v>
          </cell>
        </row>
        <row r="202">
          <cell r="AG202">
            <v>13000000</v>
          </cell>
        </row>
        <row r="209">
          <cell r="H209">
            <v>13000000</v>
          </cell>
        </row>
        <row r="284">
          <cell r="G284">
            <v>4249345</v>
          </cell>
          <cell r="H284">
            <v>4249345</v>
          </cell>
        </row>
        <row r="1163">
          <cell r="H1163">
            <v>449538252</v>
          </cell>
        </row>
        <row r="1180">
          <cell r="H1180">
            <v>148887518</v>
          </cell>
        </row>
        <row r="1539">
          <cell r="H1539">
            <v>28956340</v>
          </cell>
        </row>
        <row r="2326">
          <cell r="Y2326">
            <v>9996834</v>
          </cell>
        </row>
        <row r="2332">
          <cell r="Y2332">
            <v>19997612</v>
          </cell>
        </row>
        <row r="2338">
          <cell r="Y2338">
            <v>10000000</v>
          </cell>
        </row>
        <row r="2407">
          <cell r="H2407">
            <v>2000000</v>
          </cell>
        </row>
        <row r="2409">
          <cell r="H2409">
            <v>29940272</v>
          </cell>
        </row>
        <row r="2462">
          <cell r="H2462">
            <v>2000000</v>
          </cell>
        </row>
        <row r="2464">
          <cell r="H2464">
            <v>5000000</v>
          </cell>
        </row>
        <row r="2466">
          <cell r="H2466">
            <v>3000000</v>
          </cell>
        </row>
        <row r="2481">
          <cell r="H2481">
            <v>11715660</v>
          </cell>
        </row>
        <row r="2935">
          <cell r="H2935">
            <v>107500212</v>
          </cell>
        </row>
        <row r="3411">
          <cell r="H3411">
            <v>18476581</v>
          </cell>
        </row>
        <row r="3455">
          <cell r="H3455">
            <v>26955075</v>
          </cell>
        </row>
        <row r="3457">
          <cell r="O3457">
            <v>26955075</v>
          </cell>
        </row>
        <row r="3527">
          <cell r="H3527">
            <v>3600000</v>
          </cell>
        </row>
        <row r="3529">
          <cell r="O3529">
            <v>3600000</v>
          </cell>
        </row>
        <row r="3643">
          <cell r="X3643">
            <v>451915027</v>
          </cell>
        </row>
        <row r="3653">
          <cell r="H3653">
            <v>451915027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6"/>
    </sheetNames>
    <sheetDataSet>
      <sheetData sheetId="0">
        <row r="31">
          <cell r="M31">
            <v>690623210</v>
          </cell>
        </row>
        <row r="951">
          <cell r="H951">
            <v>105000000</v>
          </cell>
        </row>
        <row r="953">
          <cell r="Y953">
            <v>105000000</v>
          </cell>
        </row>
        <row r="1028">
          <cell r="W1028">
            <v>7654735</v>
          </cell>
        </row>
        <row r="1063">
          <cell r="AF1063">
            <v>9580000</v>
          </cell>
        </row>
        <row r="1784">
          <cell r="G1784">
            <v>3000000</v>
          </cell>
          <cell r="H1784">
            <v>3000000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16">
          <cell r="H16">
            <v>191371395</v>
          </cell>
        </row>
        <row r="88">
          <cell r="H88">
            <v>15000000</v>
          </cell>
        </row>
        <row r="622">
          <cell r="H622">
            <v>100000000</v>
          </cell>
        </row>
        <row r="846">
          <cell r="AF846">
            <v>16000000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1">
          <cell r="H31">
            <v>86271560</v>
          </cell>
        </row>
        <row r="1547">
          <cell r="G1547">
            <v>1000000</v>
          </cell>
          <cell r="H1547">
            <v>1000000</v>
          </cell>
        </row>
        <row r="1609">
          <cell r="O1609">
            <v>9950000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ON NOV"/>
      <sheetName val="P. ACCION NOV (2)"/>
      <sheetName val="P.ACCION CONSOLIDADO"/>
    </sheetNames>
    <sheetDataSet>
      <sheetData sheetId="0"/>
      <sheetData sheetId="1"/>
      <sheetData sheetId="2">
        <row r="20">
          <cell r="BR20">
            <v>0.7291755335573572</v>
          </cell>
          <cell r="BS20">
            <v>1105051650</v>
          </cell>
        </row>
        <row r="60">
          <cell r="BR60">
            <v>0.73455979149966832</v>
          </cell>
          <cell r="BS60">
            <v>4631114712</v>
          </cell>
        </row>
        <row r="93">
          <cell r="BR93">
            <v>0.9004175271078102</v>
          </cell>
          <cell r="BS93">
            <v>1611868522</v>
          </cell>
        </row>
        <row r="112">
          <cell r="BR112">
            <v>0.91633288881921593</v>
          </cell>
          <cell r="BS112">
            <v>2720705558</v>
          </cell>
        </row>
        <row r="132">
          <cell r="BR132">
            <v>0.61886288905283804</v>
          </cell>
          <cell r="BS132">
            <v>7856708940</v>
          </cell>
        </row>
        <row r="145">
          <cell r="BR145">
            <v>0.70922370393737566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IEMBRE 2016"/>
    </sheetNames>
    <sheetDataSet>
      <sheetData sheetId="0">
        <row r="9">
          <cell r="H9">
            <v>19716125914</v>
          </cell>
        </row>
        <row r="18">
          <cell r="AG18">
            <v>1679216</v>
          </cell>
        </row>
        <row r="71">
          <cell r="H71">
            <v>30710300</v>
          </cell>
        </row>
        <row r="84">
          <cell r="N84">
            <v>6877070</v>
          </cell>
        </row>
        <row r="95">
          <cell r="H95">
            <v>300000</v>
          </cell>
        </row>
        <row r="123">
          <cell r="H123">
            <v>3138802</v>
          </cell>
        </row>
        <row r="125">
          <cell r="H125">
            <v>1361198</v>
          </cell>
        </row>
        <row r="161">
          <cell r="W161">
            <v>110421200</v>
          </cell>
        </row>
        <row r="164">
          <cell r="H164">
            <v>47019240</v>
          </cell>
        </row>
        <row r="190">
          <cell r="H190">
            <v>22980760</v>
          </cell>
        </row>
        <row r="223">
          <cell r="H223">
            <v>61375681</v>
          </cell>
        </row>
        <row r="226">
          <cell r="H226">
            <v>49045519</v>
          </cell>
        </row>
        <row r="230">
          <cell r="W230">
            <v>13338840</v>
          </cell>
        </row>
        <row r="273">
          <cell r="H273">
            <v>100166000</v>
          </cell>
        </row>
        <row r="275">
          <cell r="H275">
            <v>75911798</v>
          </cell>
        </row>
        <row r="277">
          <cell r="H277">
            <v>3752832</v>
          </cell>
        </row>
        <row r="279">
          <cell r="H279">
            <v>112215277</v>
          </cell>
        </row>
        <row r="291">
          <cell r="H291">
            <v>17103000</v>
          </cell>
        </row>
        <row r="293">
          <cell r="H293">
            <v>7221000</v>
          </cell>
        </row>
        <row r="295">
          <cell r="H295">
            <v>12000000</v>
          </cell>
        </row>
        <row r="297">
          <cell r="H297">
            <v>8000000</v>
          </cell>
        </row>
        <row r="299">
          <cell r="H299">
            <v>2210000</v>
          </cell>
        </row>
        <row r="301">
          <cell r="H301">
            <v>35541154</v>
          </cell>
        </row>
        <row r="303">
          <cell r="H303">
            <v>95654484</v>
          </cell>
        </row>
        <row r="305">
          <cell r="H305">
            <v>5997020</v>
          </cell>
        </row>
        <row r="307">
          <cell r="H307">
            <v>2342156</v>
          </cell>
        </row>
        <row r="309">
          <cell r="H309">
            <v>9000000</v>
          </cell>
        </row>
        <row r="310">
          <cell r="H310">
            <v>13020000</v>
          </cell>
        </row>
        <row r="311">
          <cell r="H311">
            <v>1040000</v>
          </cell>
        </row>
        <row r="312">
          <cell r="H312">
            <v>2499841</v>
          </cell>
        </row>
        <row r="313">
          <cell r="H313">
            <v>2349998</v>
          </cell>
        </row>
        <row r="314">
          <cell r="H314">
            <v>800000</v>
          </cell>
        </row>
        <row r="316">
          <cell r="H316">
            <v>4969822</v>
          </cell>
        </row>
        <row r="318">
          <cell r="H318">
            <v>7995000</v>
          </cell>
        </row>
        <row r="320">
          <cell r="H320">
            <v>2483950</v>
          </cell>
        </row>
        <row r="322">
          <cell r="H322">
            <v>3580000</v>
          </cell>
        </row>
        <row r="324">
          <cell r="H324">
            <v>2836200</v>
          </cell>
        </row>
        <row r="326">
          <cell r="H326">
            <v>1543376</v>
          </cell>
        </row>
        <row r="328">
          <cell r="H328">
            <v>9759624</v>
          </cell>
        </row>
        <row r="331">
          <cell r="H331">
            <v>20233000</v>
          </cell>
        </row>
        <row r="334">
          <cell r="H334">
            <v>5899000</v>
          </cell>
        </row>
        <row r="336">
          <cell r="H336">
            <v>2381596</v>
          </cell>
        </row>
        <row r="338">
          <cell r="H338">
            <v>17840824</v>
          </cell>
        </row>
        <row r="340">
          <cell r="H340">
            <v>14447996</v>
          </cell>
        </row>
        <row r="342">
          <cell r="H342">
            <v>579884</v>
          </cell>
        </row>
        <row r="349">
          <cell r="M349">
            <v>128440000</v>
          </cell>
          <cell r="AG349">
            <v>41848600</v>
          </cell>
        </row>
        <row r="350">
          <cell r="H350">
            <v>5232200</v>
          </cell>
        </row>
        <row r="352">
          <cell r="H352">
            <v>494000</v>
          </cell>
        </row>
        <row r="353">
          <cell r="H353">
            <v>5119560</v>
          </cell>
        </row>
        <row r="356">
          <cell r="H356">
            <v>1089440</v>
          </cell>
        </row>
        <row r="360">
          <cell r="H360">
            <v>1430000</v>
          </cell>
        </row>
        <row r="362">
          <cell r="H362">
            <v>5190400</v>
          </cell>
        </row>
        <row r="363">
          <cell r="H363">
            <v>2101000</v>
          </cell>
        </row>
        <row r="365">
          <cell r="H365">
            <v>12896000</v>
          </cell>
        </row>
        <row r="367">
          <cell r="H367">
            <v>1257366</v>
          </cell>
        </row>
        <row r="369">
          <cell r="H369">
            <v>7038634</v>
          </cell>
        </row>
        <row r="399">
          <cell r="M399">
            <v>325100993</v>
          </cell>
        </row>
        <row r="508">
          <cell r="O508">
            <v>94797911</v>
          </cell>
          <cell r="AG508">
            <v>47760678</v>
          </cell>
        </row>
        <row r="577">
          <cell r="H577">
            <v>2183738</v>
          </cell>
        </row>
        <row r="603">
          <cell r="H603">
            <v>1652640</v>
          </cell>
        </row>
        <row r="607">
          <cell r="H607">
            <v>500000</v>
          </cell>
        </row>
        <row r="610">
          <cell r="H610">
            <v>1740000</v>
          </cell>
        </row>
        <row r="618">
          <cell r="H618">
            <v>963495</v>
          </cell>
        </row>
        <row r="626">
          <cell r="H626">
            <v>919964</v>
          </cell>
        </row>
        <row r="628">
          <cell r="H628">
            <v>2595000</v>
          </cell>
        </row>
        <row r="635">
          <cell r="H635">
            <v>889800</v>
          </cell>
        </row>
        <row r="636">
          <cell r="H636">
            <v>2640000</v>
          </cell>
        </row>
        <row r="641">
          <cell r="H641">
            <v>889800</v>
          </cell>
        </row>
        <row r="659">
          <cell r="H659">
            <v>437500</v>
          </cell>
        </row>
        <row r="661">
          <cell r="H661">
            <v>1288341</v>
          </cell>
        </row>
        <row r="662">
          <cell r="H662">
            <v>1280068</v>
          </cell>
        </row>
        <row r="675">
          <cell r="H675">
            <v>916000</v>
          </cell>
        </row>
        <row r="690">
          <cell r="H690">
            <v>1113837</v>
          </cell>
        </row>
        <row r="693">
          <cell r="H693">
            <v>437500</v>
          </cell>
        </row>
        <row r="699">
          <cell r="H699">
            <v>1221000</v>
          </cell>
        </row>
        <row r="701">
          <cell r="H701">
            <v>2604504</v>
          </cell>
        </row>
        <row r="707">
          <cell r="H707">
            <v>1397000</v>
          </cell>
        </row>
        <row r="708">
          <cell r="H708">
            <v>1397000</v>
          </cell>
        </row>
        <row r="716">
          <cell r="H716">
            <v>1139000</v>
          </cell>
        </row>
        <row r="717">
          <cell r="H717">
            <v>1769000</v>
          </cell>
        </row>
        <row r="720">
          <cell r="H720">
            <v>735236</v>
          </cell>
        </row>
        <row r="733">
          <cell r="H733">
            <v>1200000</v>
          </cell>
        </row>
        <row r="735">
          <cell r="H735">
            <v>420000</v>
          </cell>
        </row>
        <row r="736">
          <cell r="H736">
            <v>200000</v>
          </cell>
        </row>
        <row r="739">
          <cell r="H739">
            <v>103825</v>
          </cell>
        </row>
        <row r="746">
          <cell r="H746">
            <v>508698</v>
          </cell>
        </row>
        <row r="762">
          <cell r="H762">
            <v>437500</v>
          </cell>
        </row>
        <row r="778">
          <cell r="H778">
            <v>437500</v>
          </cell>
        </row>
        <row r="790">
          <cell r="H790">
            <v>1249000</v>
          </cell>
        </row>
        <row r="791">
          <cell r="H791">
            <v>989327</v>
          </cell>
        </row>
        <row r="792">
          <cell r="H792">
            <v>932419</v>
          </cell>
        </row>
        <row r="796">
          <cell r="H796">
            <v>2187500</v>
          </cell>
        </row>
        <row r="811">
          <cell r="H811">
            <v>1292290</v>
          </cell>
        </row>
        <row r="820">
          <cell r="H820">
            <v>705116</v>
          </cell>
        </row>
        <row r="824">
          <cell r="H824">
            <v>3062500</v>
          </cell>
        </row>
        <row r="846">
          <cell r="H846">
            <v>539936</v>
          </cell>
        </row>
        <row r="847">
          <cell r="H847">
            <v>353674</v>
          </cell>
        </row>
        <row r="848">
          <cell r="H848">
            <v>692341</v>
          </cell>
        </row>
        <row r="870">
          <cell r="H870">
            <v>1095975</v>
          </cell>
        </row>
        <row r="874">
          <cell r="H874">
            <v>642654</v>
          </cell>
        </row>
        <row r="879">
          <cell r="O879">
            <v>33432700</v>
          </cell>
        </row>
        <row r="922">
          <cell r="O922">
            <v>7800000</v>
          </cell>
        </row>
        <row r="1194">
          <cell r="Y1194">
            <v>48042599</v>
          </cell>
        </row>
        <row r="1245">
          <cell r="H1245">
            <v>22773472</v>
          </cell>
        </row>
        <row r="1247">
          <cell r="Z1247">
            <v>22773472</v>
          </cell>
        </row>
        <row r="1259">
          <cell r="Y1259">
            <v>135747651</v>
          </cell>
        </row>
        <row r="1393">
          <cell r="AG1393">
            <v>13030385</v>
          </cell>
        </row>
        <row r="1488">
          <cell r="Z1488">
            <v>30946804</v>
          </cell>
          <cell r="AG1488">
            <v>13603033</v>
          </cell>
        </row>
        <row r="1535">
          <cell r="K1535">
            <v>1591857</v>
          </cell>
          <cell r="Z1535">
            <v>22168467</v>
          </cell>
        </row>
        <row r="1536">
          <cell r="H1536">
            <v>19909124</v>
          </cell>
        </row>
        <row r="1543">
          <cell r="H1543">
            <v>2259343</v>
          </cell>
        </row>
        <row r="1624">
          <cell r="H1624">
            <v>30000000</v>
          </cell>
        </row>
        <row r="1633">
          <cell r="H1633">
            <v>56354000</v>
          </cell>
        </row>
        <row r="1635">
          <cell r="M1635">
            <v>56354000</v>
          </cell>
        </row>
        <row r="1693">
          <cell r="M1693">
            <v>148887518</v>
          </cell>
        </row>
        <row r="1711">
          <cell r="AG1711">
            <v>12565680</v>
          </cell>
        </row>
        <row r="1958">
          <cell r="AG1958">
            <v>13999998</v>
          </cell>
        </row>
        <row r="1974">
          <cell r="H1974">
            <v>6844240</v>
          </cell>
        </row>
        <row r="1976">
          <cell r="AG1976">
            <v>6844240</v>
          </cell>
        </row>
        <row r="1989">
          <cell r="Y1989">
            <v>102694205</v>
          </cell>
        </row>
        <row r="1990">
          <cell r="H1990">
            <v>54441061</v>
          </cell>
        </row>
        <row r="2007">
          <cell r="H2007">
            <v>40869452</v>
          </cell>
        </row>
        <row r="2021">
          <cell r="H2021">
            <v>7383692</v>
          </cell>
        </row>
        <row r="2026">
          <cell r="H2026">
            <v>11141310</v>
          </cell>
        </row>
        <row r="2032">
          <cell r="H2032">
            <v>39735919</v>
          </cell>
        </row>
        <row r="2041">
          <cell r="H2041">
            <v>14311160</v>
          </cell>
        </row>
        <row r="2046">
          <cell r="H2046">
            <v>20113712</v>
          </cell>
        </row>
        <row r="2122">
          <cell r="AG2122">
            <v>2300000</v>
          </cell>
        </row>
        <row r="2200">
          <cell r="Y2200">
            <v>28956340</v>
          </cell>
        </row>
        <row r="2388">
          <cell r="H2388">
            <v>2142000</v>
          </cell>
        </row>
        <row r="2391">
          <cell r="H2391">
            <v>2700000</v>
          </cell>
        </row>
        <row r="2393">
          <cell r="H2393">
            <v>1700000</v>
          </cell>
        </row>
        <row r="2395">
          <cell r="W2395">
            <v>1112735</v>
          </cell>
        </row>
        <row r="3069">
          <cell r="Y3069">
            <v>88275477</v>
          </cell>
        </row>
        <row r="3114">
          <cell r="H3114">
            <v>9996834</v>
          </cell>
        </row>
        <row r="3127">
          <cell r="H3127">
            <v>10000000</v>
          </cell>
        </row>
        <row r="3207">
          <cell r="M3207">
            <v>29940272</v>
          </cell>
        </row>
        <row r="3272">
          <cell r="Y3272">
            <v>9553836</v>
          </cell>
        </row>
        <row r="3281">
          <cell r="M3281">
            <v>11715660</v>
          </cell>
        </row>
        <row r="3359">
          <cell r="M3359">
            <v>22732510</v>
          </cell>
          <cell r="P3359">
            <v>62566149</v>
          </cell>
          <cell r="Y3359">
            <v>15452028</v>
          </cell>
        </row>
        <row r="3471">
          <cell r="O3471">
            <v>53333360</v>
          </cell>
          <cell r="AG3471">
            <v>20800000</v>
          </cell>
        </row>
        <row r="3514">
          <cell r="H3514">
            <v>20999455</v>
          </cell>
        </row>
        <row r="3516">
          <cell r="O3516">
            <v>20999455</v>
          </cell>
        </row>
        <row r="3529">
          <cell r="H3529">
            <v>15773440</v>
          </cell>
        </row>
        <row r="3531">
          <cell r="AG3531">
            <v>15773440</v>
          </cell>
        </row>
        <row r="3649">
          <cell r="H3649">
            <v>98468561</v>
          </cell>
        </row>
        <row r="3651">
          <cell r="O3651">
            <v>98468561</v>
          </cell>
        </row>
        <row r="3704">
          <cell r="W3704">
            <v>27578230</v>
          </cell>
        </row>
        <row r="3786">
          <cell r="O3786">
            <v>45175470</v>
          </cell>
        </row>
        <row r="3841">
          <cell r="Y3841">
            <v>5652704</v>
          </cell>
        </row>
        <row r="3941">
          <cell r="P3941">
            <v>49797725</v>
          </cell>
          <cell r="AG3941">
            <v>66095978</v>
          </cell>
        </row>
        <row r="4050">
          <cell r="W4050">
            <v>18023361</v>
          </cell>
        </row>
        <row r="4096">
          <cell r="H4096">
            <v>16147870</v>
          </cell>
        </row>
        <row r="4097">
          <cell r="H4097">
            <v>1293760</v>
          </cell>
        </row>
        <row r="4107">
          <cell r="H4107">
            <v>1911490</v>
          </cell>
        </row>
        <row r="4113">
          <cell r="H4113">
            <v>646880</v>
          </cell>
        </row>
        <row r="4129">
          <cell r="O4129">
            <v>157483417</v>
          </cell>
        </row>
        <row r="4535">
          <cell r="O4535">
            <v>18476581</v>
          </cell>
        </row>
        <row r="4549">
          <cell r="H4549">
            <v>9394500</v>
          </cell>
        </row>
        <row r="4551">
          <cell r="O4551">
            <v>9394500</v>
          </cell>
        </row>
        <row r="4642">
          <cell r="O4642">
            <v>948558</v>
          </cell>
          <cell r="W4642">
            <v>3901442</v>
          </cell>
        </row>
        <row r="4651">
          <cell r="W4651">
            <v>9932475</v>
          </cell>
        </row>
        <row r="4773">
          <cell r="H4773">
            <v>54738133</v>
          </cell>
        </row>
        <row r="4775">
          <cell r="AG4775">
            <v>54738133</v>
          </cell>
        </row>
        <row r="4806">
          <cell r="H4806">
            <v>2032628341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107">
          <cell r="H107">
            <v>6621400</v>
          </cell>
        </row>
        <row r="109">
          <cell r="M109">
            <v>6621400</v>
          </cell>
        </row>
        <row r="352">
          <cell r="W352">
            <v>100000000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78">
          <cell r="Y478">
            <v>10000000</v>
          </cell>
        </row>
        <row r="769">
          <cell r="H769">
            <v>17970750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IEMBRE 2016"/>
    </sheetNames>
    <sheetDataSet>
      <sheetData sheetId="0">
        <row r="18">
          <cell r="M18">
            <v>2128663595</v>
          </cell>
        </row>
        <row r="44">
          <cell r="M44">
            <v>1325950029</v>
          </cell>
          <cell r="U44">
            <v>49852012</v>
          </cell>
          <cell r="AG44">
            <v>126269263</v>
          </cell>
        </row>
        <row r="165">
          <cell r="M165">
            <v>1413185808</v>
          </cell>
        </row>
        <row r="277">
          <cell r="M277">
            <v>292045907</v>
          </cell>
        </row>
        <row r="293">
          <cell r="M293">
            <v>162699460</v>
          </cell>
          <cell r="AG293">
            <v>146629465</v>
          </cell>
        </row>
        <row r="380">
          <cell r="AG380">
            <v>10904419</v>
          </cell>
        </row>
        <row r="478">
          <cell r="O478">
            <v>127287458</v>
          </cell>
        </row>
        <row r="513">
          <cell r="M513">
            <v>207088469</v>
          </cell>
        </row>
        <row r="903">
          <cell r="M903">
            <v>26759508</v>
          </cell>
        </row>
        <row r="935">
          <cell r="O935">
            <v>146972351</v>
          </cell>
        </row>
        <row r="1065">
          <cell r="H1065">
            <v>64597766</v>
          </cell>
        </row>
        <row r="1067">
          <cell r="Z1067">
            <v>64597766</v>
          </cell>
        </row>
        <row r="1098">
          <cell r="Z1098">
            <v>59932949</v>
          </cell>
        </row>
        <row r="1123">
          <cell r="Z1123">
            <v>35002011</v>
          </cell>
        </row>
        <row r="1142">
          <cell r="AG1142">
            <v>66494287</v>
          </cell>
        </row>
        <row r="1199">
          <cell r="Z1199">
            <v>54340071</v>
          </cell>
        </row>
        <row r="1264">
          <cell r="Z1264">
            <v>339690785</v>
          </cell>
        </row>
        <row r="1382">
          <cell r="Z1382">
            <v>304709714</v>
          </cell>
        </row>
        <row r="1502">
          <cell r="K1502">
            <v>191559085</v>
          </cell>
          <cell r="M1502">
            <v>241589585</v>
          </cell>
          <cell r="O1502">
            <v>631775394</v>
          </cell>
          <cell r="Z1502">
            <v>137527245</v>
          </cell>
        </row>
        <row r="1538">
          <cell r="Z1538">
            <v>97925451</v>
          </cell>
        </row>
        <row r="1634">
          <cell r="M1634">
            <v>49907080</v>
          </cell>
        </row>
        <row r="1700">
          <cell r="M1700">
            <v>943133259</v>
          </cell>
        </row>
        <row r="1772">
          <cell r="M1772">
            <v>49337831</v>
          </cell>
        </row>
        <row r="1788">
          <cell r="H1788">
            <v>67969932</v>
          </cell>
        </row>
        <row r="1790">
          <cell r="M1790">
            <v>67969932</v>
          </cell>
        </row>
        <row r="1827">
          <cell r="G1827">
            <v>5699999</v>
          </cell>
          <cell r="H1827">
            <v>5699999</v>
          </cell>
        </row>
        <row r="1854">
          <cell r="Y1854">
            <v>23436667</v>
          </cell>
        </row>
        <row r="1868">
          <cell r="Y1868">
            <v>99183605</v>
          </cell>
        </row>
        <row r="1926">
          <cell r="Y1926">
            <v>89029341</v>
          </cell>
        </row>
        <row r="1986">
          <cell r="AA1986">
            <v>85302101</v>
          </cell>
        </row>
        <row r="2051">
          <cell r="Y2051">
            <v>52794572</v>
          </cell>
        </row>
        <row r="2119">
          <cell r="Y2119">
            <v>49999719</v>
          </cell>
        </row>
        <row r="2234">
          <cell r="W2234">
            <v>278295718</v>
          </cell>
        </row>
        <row r="2387">
          <cell r="Y2387">
            <v>128485707</v>
          </cell>
          <cell r="AG2387">
            <v>22352915</v>
          </cell>
        </row>
        <row r="2508">
          <cell r="V2508">
            <v>1691341050</v>
          </cell>
        </row>
        <row r="3092">
          <cell r="Y3092">
            <v>17514129</v>
          </cell>
        </row>
        <row r="3106">
          <cell r="Y3106">
            <v>15481637</v>
          </cell>
        </row>
        <row r="3141">
          <cell r="AF3141">
            <v>102199461</v>
          </cell>
        </row>
        <row r="3163">
          <cell r="M3163">
            <v>18177642</v>
          </cell>
          <cell r="Y3163">
            <v>68368345</v>
          </cell>
        </row>
        <row r="3361">
          <cell r="M3361">
            <v>22732510</v>
          </cell>
          <cell r="P3361">
            <v>62566149</v>
          </cell>
        </row>
        <row r="3556">
          <cell r="O3556">
            <v>147340801</v>
          </cell>
          <cell r="AG3556">
            <v>81630311</v>
          </cell>
        </row>
        <row r="3732">
          <cell r="H3732">
            <v>13205781</v>
          </cell>
        </row>
        <row r="3734">
          <cell r="O3734">
            <v>13205781</v>
          </cell>
        </row>
        <row r="3787">
          <cell r="AG3787">
            <v>23253959</v>
          </cell>
        </row>
        <row r="3842">
          <cell r="O3842">
            <v>91154992</v>
          </cell>
        </row>
        <row r="3869">
          <cell r="O3869">
            <v>104488076</v>
          </cell>
        </row>
        <row r="4088">
          <cell r="O4088">
            <v>94527173</v>
          </cell>
        </row>
        <row r="4131">
          <cell r="O4131">
            <v>157483417</v>
          </cell>
          <cell r="V4131">
            <v>214647880</v>
          </cell>
        </row>
        <row r="4308">
          <cell r="AG4308">
            <v>17807112</v>
          </cell>
        </row>
        <row r="4342">
          <cell r="AG4342">
            <v>6963200</v>
          </cell>
        </row>
        <row r="4352">
          <cell r="G4352">
            <v>602469</v>
          </cell>
        </row>
        <row r="4354">
          <cell r="AG4354">
            <v>602469</v>
          </cell>
        </row>
        <row r="4361">
          <cell r="W4361">
            <v>26900225</v>
          </cell>
          <cell r="AG4361">
            <v>463910922</v>
          </cell>
        </row>
        <row r="4524">
          <cell r="H4524">
            <v>6791364</v>
          </cell>
        </row>
        <row r="4526">
          <cell r="O4526">
            <v>6791364</v>
          </cell>
        </row>
        <row r="4634">
          <cell r="O4634">
            <v>9762123</v>
          </cell>
        </row>
        <row r="4691">
          <cell r="O4691">
            <v>33106800</v>
          </cell>
        </row>
        <row r="4701">
          <cell r="O4701">
            <v>15184000</v>
          </cell>
        </row>
        <row r="4713">
          <cell r="O4713">
            <v>11349999</v>
          </cell>
        </row>
        <row r="4722">
          <cell r="W4722">
            <v>230946169</v>
          </cell>
        </row>
        <row r="4811">
          <cell r="AB4811">
            <v>2032628341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 2016"/>
    </sheetNames>
    <sheetDataSet>
      <sheetData sheetId="0">
        <row r="18">
          <cell r="M18">
            <v>2155141323</v>
          </cell>
        </row>
        <row r="43">
          <cell r="N43">
            <v>38948568</v>
          </cell>
          <cell r="T43">
            <v>3438802</v>
          </cell>
        </row>
        <row r="127">
          <cell r="N127">
            <v>110222032</v>
          </cell>
        </row>
        <row r="212">
          <cell r="M212">
            <v>183477457</v>
          </cell>
          <cell r="AG212">
            <v>18968440</v>
          </cell>
        </row>
        <row r="323">
          <cell r="M323">
            <v>128440000</v>
          </cell>
        </row>
        <row r="389">
          <cell r="W389">
            <v>249680327</v>
          </cell>
        </row>
        <row r="825">
          <cell r="H825">
            <v>33432700</v>
          </cell>
        </row>
        <row r="1109">
          <cell r="H1109">
            <v>33881302</v>
          </cell>
        </row>
        <row r="1111">
          <cell r="Z1111">
            <v>33881302</v>
          </cell>
        </row>
        <row r="1149">
          <cell r="H1149">
            <v>48042599</v>
          </cell>
        </row>
        <row r="1189">
          <cell r="AG1189">
            <v>6948804</v>
          </cell>
        </row>
        <row r="1262">
          <cell r="H1262">
            <v>137891</v>
          </cell>
        </row>
        <row r="1263">
          <cell r="H1263">
            <v>178655</v>
          </cell>
        </row>
        <row r="1264">
          <cell r="H1264">
            <v>3013985</v>
          </cell>
        </row>
        <row r="1267">
          <cell r="H1267">
            <v>745819</v>
          </cell>
        </row>
        <row r="1268">
          <cell r="H1268">
            <v>1064551</v>
          </cell>
        </row>
        <row r="1269">
          <cell r="H1269">
            <v>807903</v>
          </cell>
        </row>
        <row r="1307">
          <cell r="H1307">
            <v>1000000</v>
          </cell>
        </row>
        <row r="1549">
          <cell r="H1549">
            <v>49907080</v>
          </cell>
        </row>
        <row r="1735">
          <cell r="H1735">
            <v>20000000</v>
          </cell>
        </row>
        <row r="1737">
          <cell r="Y1737">
            <v>20000000</v>
          </cell>
        </row>
        <row r="2917">
          <cell r="H2917">
            <v>88275477</v>
          </cell>
        </row>
        <row r="3038">
          <cell r="H3038">
            <v>5060373</v>
          </cell>
        </row>
        <row r="3040">
          <cell r="AG3040">
            <v>5060373</v>
          </cell>
        </row>
        <row r="3385">
          <cell r="P3385">
            <v>14004396</v>
          </cell>
        </row>
        <row r="3605">
          <cell r="O3605">
            <v>45175470</v>
          </cell>
        </row>
        <row r="3656">
          <cell r="Y3656">
            <v>5652704</v>
          </cell>
        </row>
        <row r="3703">
          <cell r="H3703">
            <v>7576000</v>
          </cell>
        </row>
        <row r="3715">
          <cell r="O3715">
            <v>78376950</v>
          </cell>
        </row>
        <row r="3728">
          <cell r="O3728">
            <v>107500212</v>
          </cell>
        </row>
        <row r="3858">
          <cell r="H3858">
            <v>18023361</v>
          </cell>
        </row>
        <row r="3905">
          <cell r="H3905">
            <v>16147870</v>
          </cell>
        </row>
        <row r="3906">
          <cell r="H3906">
            <v>1293760</v>
          </cell>
        </row>
        <row r="3916">
          <cell r="H3916">
            <v>1911490</v>
          </cell>
        </row>
        <row r="3922">
          <cell r="H3922">
            <v>646880</v>
          </cell>
        </row>
        <row r="4356">
          <cell r="G4356">
            <v>4056238</v>
          </cell>
          <cell r="H4356">
            <v>4056238</v>
          </cell>
        </row>
        <row r="4398">
          <cell r="W4398">
            <v>3010000</v>
          </cell>
        </row>
        <row r="4410">
          <cell r="H4410">
            <v>948558</v>
          </cell>
        </row>
        <row r="4412">
          <cell r="H4412">
            <v>3901442</v>
          </cell>
        </row>
        <row r="4470">
          <cell r="AG4470">
            <v>1000000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9">
          <cell r="G9">
            <v>6303036669</v>
          </cell>
        </row>
        <row r="621">
          <cell r="H621">
            <v>9553836</v>
          </cell>
        </row>
        <row r="635">
          <cell r="H635">
            <v>18168096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6"/>
    </sheetNames>
    <sheetDataSet>
      <sheetData sheetId="0">
        <row r="18">
          <cell r="M18">
            <v>1264899677</v>
          </cell>
        </row>
        <row r="75">
          <cell r="U75">
            <v>70000000</v>
          </cell>
          <cell r="AG75">
            <v>9866120</v>
          </cell>
        </row>
        <row r="91">
          <cell r="H91">
            <v>9866120</v>
          </cell>
        </row>
        <row r="1359">
          <cell r="H1359">
            <v>14004396</v>
          </cell>
        </row>
        <row r="1361">
          <cell r="H1361">
            <v>1796640</v>
          </cell>
        </row>
        <row r="1393">
          <cell r="O1393">
            <v>1550000</v>
          </cell>
        </row>
        <row r="1397">
          <cell r="O1397">
            <v>1550000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6"/>
    </sheetNames>
    <sheetDataSet>
      <sheetData sheetId="0">
        <row r="31">
          <cell r="M31">
            <v>982978733</v>
          </cell>
        </row>
        <row r="221">
          <cell r="H221">
            <v>249680327</v>
          </cell>
        </row>
        <row r="1444">
          <cell r="M1444">
            <v>30000000</v>
          </cell>
        </row>
        <row r="1616">
          <cell r="H1616">
            <v>16000000</v>
          </cell>
        </row>
        <row r="1806">
          <cell r="H1806">
            <v>9057037</v>
          </cell>
        </row>
        <row r="1808">
          <cell r="O1808">
            <v>9057037</v>
          </cell>
        </row>
        <row r="2297">
          <cell r="H2297">
            <v>10000000</v>
          </cell>
        </row>
        <row r="2299">
          <cell r="O2299">
            <v>10000000</v>
          </cell>
        </row>
        <row r="2306">
          <cell r="O2306">
            <v>10000000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6"/>
    </sheetNames>
    <sheetDataSet>
      <sheetData sheetId="0">
        <row r="16">
          <cell r="H16">
            <v>1253696459</v>
          </cell>
        </row>
        <row r="29">
          <cell r="H29">
            <v>1679216</v>
          </cell>
        </row>
        <row r="556">
          <cell r="AG556">
            <v>4586738</v>
          </cell>
        </row>
        <row r="680">
          <cell r="Z680">
            <v>2000000</v>
          </cell>
        </row>
        <row r="962">
          <cell r="M962">
            <v>449538252</v>
          </cell>
        </row>
        <row r="1965">
          <cell r="Y1965">
            <v>19997612</v>
          </cell>
        </row>
        <row r="1989">
          <cell r="H1989">
            <v>30000000</v>
          </cell>
        </row>
        <row r="2028">
          <cell r="AG2028">
            <v>12000000</v>
          </cell>
        </row>
        <row r="2917">
          <cell r="G2917">
            <v>17970750</v>
          </cell>
        </row>
        <row r="2973">
          <cell r="W2973">
            <v>4600000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58"/>
  <sheetViews>
    <sheetView showGridLines="0" topLeftCell="B1" zoomScaleNormal="100" zoomScalePageLayoutView="50" workbookViewId="0">
      <pane xSplit="3" ySplit="3" topLeftCell="AA80" activePane="bottomRight" state="frozen"/>
      <selection activeCell="C1" sqref="C1"/>
      <selection pane="topRight" activeCell="E1" sqref="E1"/>
      <selection pane="bottomLeft" activeCell="C4" sqref="C4"/>
      <selection pane="bottomRight" activeCell="AB54" sqref="AB54:AB59"/>
    </sheetView>
  </sheetViews>
  <sheetFormatPr baseColWidth="10" defaultRowHeight="15" x14ac:dyDescent="0.25"/>
  <cols>
    <col min="1" max="1" width="4.85546875" hidden="1" customWidth="1"/>
    <col min="2" max="2" width="23" customWidth="1"/>
    <col min="3" max="3" width="9.42578125" customWidth="1"/>
    <col min="4" max="4" width="57.28515625" bestFit="1" customWidth="1"/>
    <col min="5" max="5" width="6.28515625" customWidth="1"/>
    <col min="6" max="6" width="14.28515625" customWidth="1"/>
    <col min="7" max="7" width="14" customWidth="1"/>
    <col min="8" max="8" width="11.42578125" customWidth="1"/>
    <col min="9" max="9" width="14.42578125" customWidth="1"/>
    <col min="10" max="10" width="12.5703125" customWidth="1"/>
    <col min="11" max="11" width="12.28515625" customWidth="1"/>
    <col min="12" max="12" width="11.5703125" customWidth="1"/>
    <col min="13" max="13" width="8.42578125" customWidth="1"/>
    <col min="14" max="14" width="10.140625" customWidth="1"/>
    <col min="15" max="16" width="9.140625" customWidth="1"/>
    <col min="17" max="17" width="11.140625" customWidth="1"/>
    <col min="18" max="18" width="12.7109375" customWidth="1"/>
    <col min="19" max="19" width="12.28515625" customWidth="1"/>
    <col min="20" max="20" width="11.140625" customWidth="1"/>
    <col min="21" max="22" width="12.7109375" customWidth="1"/>
    <col min="23" max="23" width="11.140625" customWidth="1"/>
    <col min="24" max="24" width="12.7109375" customWidth="1"/>
    <col min="25" max="26" width="12.28515625" customWidth="1"/>
    <col min="27" max="27" width="8.28515625" customWidth="1"/>
    <col min="28" max="28" width="13.7109375" bestFit="1" customWidth="1"/>
    <col min="29" max="29" width="14.42578125" customWidth="1"/>
    <col min="30" max="30" width="13.5703125" customWidth="1"/>
    <col min="31" max="31" width="14" customWidth="1"/>
    <col min="32" max="32" width="17.28515625" customWidth="1"/>
    <col min="33" max="33" width="16.140625" customWidth="1"/>
    <col min="34" max="35" width="15" customWidth="1"/>
    <col min="36" max="36" width="11.7109375" customWidth="1"/>
    <col min="37" max="37" width="13.28515625" customWidth="1"/>
    <col min="38" max="38" width="12.5703125" customWidth="1"/>
    <col min="39" max="39" width="14.42578125" customWidth="1"/>
    <col min="40" max="40" width="14.140625" customWidth="1"/>
    <col min="41" max="41" width="13.28515625" customWidth="1"/>
    <col min="42" max="42" width="13.5703125" customWidth="1"/>
    <col min="43" max="43" width="13.42578125" customWidth="1"/>
    <col min="44" max="44" width="17.7109375" customWidth="1"/>
    <col min="45" max="45" width="13.42578125" customWidth="1"/>
    <col min="46" max="46" width="14.85546875" customWidth="1"/>
    <col min="47" max="47" width="15.5703125" customWidth="1"/>
    <col min="48" max="48" width="13.85546875" customWidth="1"/>
    <col min="49" max="49" width="8.5703125" customWidth="1"/>
    <col min="50" max="50" width="14.85546875" customWidth="1"/>
    <col min="51" max="51" width="14.5703125" customWidth="1"/>
    <col min="52" max="52" width="15.140625" customWidth="1"/>
    <col min="53" max="53" width="14.42578125" customWidth="1"/>
    <col min="54" max="54" width="11.28515625" customWidth="1"/>
    <col min="55" max="55" width="13.85546875" customWidth="1"/>
    <col min="56" max="56" width="10" customWidth="1"/>
    <col min="57" max="57" width="11" customWidth="1"/>
    <col min="58" max="59" width="9.28515625" customWidth="1"/>
    <col min="60" max="60" width="12.5703125" customWidth="1"/>
    <col min="61" max="61" width="13.5703125" customWidth="1"/>
    <col min="62" max="62" width="15.140625" customWidth="1"/>
    <col min="63" max="63" width="13.85546875" customWidth="1"/>
    <col min="64" max="64" width="15" customWidth="1"/>
    <col min="65" max="66" width="13.42578125" customWidth="1"/>
    <col min="67" max="67" width="13.5703125" customWidth="1"/>
    <col min="68" max="68" width="15.5703125" customWidth="1"/>
    <col min="69" max="69" width="12.85546875" customWidth="1"/>
    <col min="70" max="70" width="9.5703125" customWidth="1"/>
    <col min="71" max="71" width="14" customWidth="1"/>
    <col min="72" max="72" width="14" hidden="1" customWidth="1"/>
    <col min="73" max="73" width="12.28515625" customWidth="1"/>
    <col min="74" max="74" width="13.28515625" customWidth="1"/>
    <col min="75" max="75" width="14" customWidth="1"/>
    <col min="76" max="76" width="15.42578125" customWidth="1"/>
    <col min="77" max="77" width="15.28515625" customWidth="1"/>
    <col min="78" max="78" width="12.42578125" customWidth="1"/>
    <col min="79" max="79" width="11.7109375" customWidth="1"/>
    <col min="80" max="80" width="13.42578125" customWidth="1"/>
    <col min="81" max="81" width="11.42578125" customWidth="1"/>
    <col min="82" max="82" width="15.7109375" customWidth="1"/>
    <col min="83" max="83" width="16.28515625" customWidth="1"/>
    <col min="84" max="84" width="16.5703125" customWidth="1"/>
    <col min="85" max="85" width="17.140625" customWidth="1"/>
    <col min="86" max="86" width="13" customWidth="1"/>
    <col min="87" max="88" width="14.28515625" customWidth="1"/>
    <col min="89" max="89" width="13.7109375" customWidth="1"/>
    <col min="90" max="90" width="12.28515625" customWidth="1"/>
    <col min="91" max="91" width="13.42578125" customWidth="1"/>
    <col min="92" max="92" width="8.28515625" bestFit="1" customWidth="1"/>
    <col min="93" max="93" width="15" customWidth="1"/>
    <col min="94" max="94" width="13.7109375" customWidth="1"/>
    <col min="95" max="95" width="14.42578125" customWidth="1"/>
    <col min="96" max="96" width="15.5703125" customWidth="1"/>
    <col min="97" max="99" width="13.5703125" customWidth="1"/>
    <col min="100" max="101" width="13.85546875" customWidth="1"/>
    <col min="102" max="102" width="11.42578125" customWidth="1"/>
    <col min="103" max="103" width="13.7109375" customWidth="1"/>
    <col min="104" max="104" width="13.85546875" customWidth="1"/>
    <col min="105" max="105" width="12.28515625" customWidth="1"/>
    <col min="106" max="106" width="13.85546875" customWidth="1"/>
    <col min="107" max="107" width="13.28515625" customWidth="1"/>
    <col min="108" max="109" width="14.42578125" customWidth="1"/>
    <col min="110" max="111" width="14.85546875" customWidth="1"/>
    <col min="112" max="112" width="13.5703125" customWidth="1"/>
    <col min="113" max="113" width="5.140625" customWidth="1"/>
    <col min="114" max="114" width="13.85546875" customWidth="1"/>
    <col min="115" max="115" width="14.42578125" customWidth="1"/>
    <col min="116" max="116" width="15" customWidth="1"/>
    <col min="117" max="117" width="11.42578125" customWidth="1"/>
  </cols>
  <sheetData>
    <row r="1" spans="1:116" ht="15" customHeight="1" x14ac:dyDescent="0.3">
      <c r="C1" s="211" t="s">
        <v>0</v>
      </c>
      <c r="D1" s="211"/>
      <c r="E1" s="211"/>
      <c r="F1" s="211"/>
      <c r="G1" s="212" t="s">
        <v>1</v>
      </c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1"/>
      <c r="AB1" s="213" t="s">
        <v>2</v>
      </c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5"/>
      <c r="AW1" s="2"/>
      <c r="AX1" s="3"/>
      <c r="AY1" s="209" t="s">
        <v>3</v>
      </c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6"/>
      <c r="BS1" s="209" t="s">
        <v>4</v>
      </c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6"/>
      <c r="CN1" s="2"/>
      <c r="CO1" s="209" t="s">
        <v>3</v>
      </c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</row>
    <row r="2" spans="1:116" ht="15.6" customHeight="1" x14ac:dyDescent="0.25">
      <c r="A2" s="217" t="s">
        <v>5</v>
      </c>
      <c r="B2" s="217" t="s">
        <v>6</v>
      </c>
      <c r="C2" s="218" t="s">
        <v>7</v>
      </c>
      <c r="D2" s="217" t="s">
        <v>8</v>
      </c>
      <c r="E2" s="220" t="s">
        <v>9</v>
      </c>
      <c r="F2" s="233" t="s">
        <v>10</v>
      </c>
      <c r="G2" s="224" t="s">
        <v>11</v>
      </c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6"/>
      <c r="AA2" s="4"/>
      <c r="AB2" s="227" t="s">
        <v>12</v>
      </c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9"/>
      <c r="AW2" s="5"/>
      <c r="AX2" s="6"/>
      <c r="AY2" s="230" t="s">
        <v>13</v>
      </c>
      <c r="AZ2" s="231"/>
      <c r="BA2" s="231"/>
      <c r="BB2" s="231"/>
      <c r="BC2" s="231"/>
      <c r="BD2" s="231"/>
      <c r="BE2" s="231"/>
      <c r="BF2" s="231"/>
      <c r="BG2" s="232"/>
      <c r="BH2" s="230" t="s">
        <v>13</v>
      </c>
      <c r="BI2" s="231"/>
      <c r="BJ2" s="231"/>
      <c r="BK2" s="231"/>
      <c r="BL2" s="231"/>
      <c r="BM2" s="231"/>
      <c r="BN2" s="231"/>
      <c r="BO2" s="231"/>
      <c r="BP2" s="231"/>
      <c r="BQ2" s="232"/>
      <c r="BR2" s="7"/>
      <c r="BS2" s="8"/>
      <c r="BT2" s="9"/>
      <c r="BU2" s="227" t="s">
        <v>14</v>
      </c>
      <c r="BV2" s="228"/>
      <c r="BW2" s="228"/>
      <c r="BX2" s="228"/>
      <c r="BY2" s="228"/>
      <c r="BZ2" s="228"/>
      <c r="CA2" s="228"/>
      <c r="CB2" s="228"/>
      <c r="CC2" s="228"/>
      <c r="CD2" s="228"/>
      <c r="CE2" s="10"/>
      <c r="CF2" s="227" t="s">
        <v>14</v>
      </c>
      <c r="CG2" s="228"/>
      <c r="CH2" s="228"/>
      <c r="CI2" s="228"/>
      <c r="CJ2" s="228"/>
      <c r="CK2" s="228"/>
      <c r="CL2" s="228"/>
      <c r="CM2" s="229"/>
      <c r="CN2" s="11"/>
      <c r="CO2" s="230" t="s">
        <v>13</v>
      </c>
      <c r="CP2" s="231"/>
      <c r="CQ2" s="231"/>
      <c r="CR2" s="231"/>
      <c r="CS2" s="231"/>
      <c r="CT2" s="231"/>
      <c r="CU2" s="231"/>
      <c r="CV2" s="231"/>
      <c r="CW2" s="231"/>
      <c r="CX2" s="231"/>
      <c r="CY2" s="231" t="s">
        <v>13</v>
      </c>
      <c r="CZ2" s="231"/>
      <c r="DA2" s="231"/>
      <c r="DB2" s="231"/>
      <c r="DC2" s="231"/>
      <c r="DD2" s="231"/>
      <c r="DE2" s="231"/>
      <c r="DF2" s="231"/>
      <c r="DG2" s="231"/>
      <c r="DH2" s="232"/>
    </row>
    <row r="3" spans="1:116" ht="42.75" customHeight="1" x14ac:dyDescent="0.25">
      <c r="A3" s="217"/>
      <c r="B3" s="217"/>
      <c r="C3" s="219"/>
      <c r="D3" s="217"/>
      <c r="E3" s="221"/>
      <c r="F3" s="234"/>
      <c r="G3" s="12" t="s">
        <v>15</v>
      </c>
      <c r="H3" s="12" t="s">
        <v>16</v>
      </c>
      <c r="I3" s="12" t="s">
        <v>17</v>
      </c>
      <c r="J3" s="12" t="s">
        <v>18</v>
      </c>
      <c r="K3" s="12" t="s">
        <v>19</v>
      </c>
      <c r="L3" s="12" t="s">
        <v>20</v>
      </c>
      <c r="M3" s="12" t="s">
        <v>21</v>
      </c>
      <c r="N3" s="12" t="s">
        <v>22</v>
      </c>
      <c r="O3" s="12" t="s">
        <v>23</v>
      </c>
      <c r="P3" s="12" t="s">
        <v>24</v>
      </c>
      <c r="Q3" s="12" t="s">
        <v>25</v>
      </c>
      <c r="R3" s="12" t="s">
        <v>26</v>
      </c>
      <c r="S3" s="12" t="s">
        <v>27</v>
      </c>
      <c r="T3" s="12" t="s">
        <v>28</v>
      </c>
      <c r="U3" s="12" t="s">
        <v>29</v>
      </c>
      <c r="V3" s="12" t="s">
        <v>30</v>
      </c>
      <c r="W3" s="12" t="s">
        <v>31</v>
      </c>
      <c r="X3" s="12" t="s">
        <v>32</v>
      </c>
      <c r="Y3" s="12" t="s">
        <v>33</v>
      </c>
      <c r="Z3" s="12" t="s">
        <v>34</v>
      </c>
      <c r="AA3" s="13" t="s">
        <v>35</v>
      </c>
      <c r="AB3" s="14" t="s">
        <v>15</v>
      </c>
      <c r="AC3" s="14" t="s">
        <v>36</v>
      </c>
      <c r="AD3" s="14" t="s">
        <v>16</v>
      </c>
      <c r="AE3" s="14" t="s">
        <v>37</v>
      </c>
      <c r="AF3" s="14" t="s">
        <v>18</v>
      </c>
      <c r="AG3" s="14" t="s">
        <v>19</v>
      </c>
      <c r="AH3" s="14" t="s">
        <v>20</v>
      </c>
      <c r="AI3" s="14" t="s">
        <v>21</v>
      </c>
      <c r="AJ3" s="14" t="s">
        <v>22</v>
      </c>
      <c r="AK3" s="14" t="s">
        <v>23</v>
      </c>
      <c r="AL3" s="14" t="s">
        <v>24</v>
      </c>
      <c r="AM3" s="14" t="s">
        <v>38</v>
      </c>
      <c r="AN3" s="14" t="s">
        <v>26</v>
      </c>
      <c r="AO3" s="14" t="s">
        <v>27</v>
      </c>
      <c r="AP3" s="14" t="s">
        <v>28</v>
      </c>
      <c r="AQ3" s="15" t="str">
        <f>+U3</f>
        <v xml:space="preserve">EXCEDENTES  USCO </v>
      </c>
      <c r="AR3" s="14" t="s">
        <v>30</v>
      </c>
      <c r="AS3" s="14" t="s">
        <v>31</v>
      </c>
      <c r="AT3" s="14" t="s">
        <v>32</v>
      </c>
      <c r="AU3" s="14" t="s">
        <v>33</v>
      </c>
      <c r="AV3" s="14" t="s">
        <v>34</v>
      </c>
      <c r="AW3" s="16" t="s">
        <v>35</v>
      </c>
      <c r="AX3" s="17" t="s">
        <v>15</v>
      </c>
      <c r="AY3" s="17" t="s">
        <v>16</v>
      </c>
      <c r="AZ3" s="17" t="s">
        <v>37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">
        <v>419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3" t="s">
        <v>35</v>
      </c>
      <c r="BS3" s="14" t="s">
        <v>15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EXCEDENTES USCO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" t="s">
        <v>35</v>
      </c>
      <c r="CO3" s="17" t="s">
        <v>15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EXCEDENTES USCO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</row>
    <row r="4" spans="1:116" ht="48.75" customHeight="1" x14ac:dyDescent="0.25">
      <c r="A4" s="19" t="s">
        <v>39</v>
      </c>
      <c r="B4" s="222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0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  <c r="DJ4" s="29">
        <f t="shared" ref="DJ4:DJ67" si="19">+G4</f>
        <v>25000000</v>
      </c>
      <c r="DK4" s="29">
        <f t="shared" ref="DK4:DK69" si="20">+AB4+AX4</f>
        <v>25000000</v>
      </c>
      <c r="DL4" s="29">
        <f t="shared" ref="DL4:DL69" si="21">+BS4+CO4</f>
        <v>25000000</v>
      </c>
    </row>
    <row r="5" spans="1:116" ht="51.75" customHeight="1" x14ac:dyDescent="0.25">
      <c r="A5" s="30"/>
      <c r="B5" s="235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0.99108770053475936</v>
      </c>
      <c r="AB5" s="24">
        <f t="shared" si="2"/>
        <v>74133360</v>
      </c>
      <c r="AC5" s="24"/>
      <c r="AD5" s="24"/>
      <c r="AE5" s="24"/>
      <c r="AF5" s="24"/>
      <c r="AG5" s="24">
        <f>+'[2]DICIEMBRE 2016'!$O$3471</f>
        <v>53333360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+'[2]DICIEMBRE 2016'!$AG$3471</f>
        <v>20800000</v>
      </c>
      <c r="AW5" s="25">
        <f t="shared" si="3"/>
        <v>8.9122994652406362E-3</v>
      </c>
      <c r="AX5" s="24">
        <f t="shared" si="4"/>
        <v>666640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666640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0</v>
      </c>
      <c r="BR5" s="25">
        <f t="shared" si="10"/>
        <v>0.99108770053475936</v>
      </c>
      <c r="BS5" s="24">
        <f t="shared" si="11"/>
        <v>74133360</v>
      </c>
      <c r="BT5" s="24"/>
      <c r="BU5" s="24"/>
      <c r="BV5" s="24"/>
      <c r="BW5" s="24"/>
      <c r="BX5" s="24">
        <f>+'[2]DICIEMBRE 2016'!$O$3471</f>
        <v>53333360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+'[2]DICIEMBRE 2016'!$AG$3471</f>
        <v>20800000</v>
      </c>
      <c r="CN5" s="25">
        <f t="shared" si="12"/>
        <v>8.9122994652406362E-3</v>
      </c>
      <c r="CO5" s="24">
        <f t="shared" si="13"/>
        <v>666640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666640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0</v>
      </c>
      <c r="DJ5" s="29">
        <f t="shared" si="19"/>
        <v>74800000</v>
      </c>
      <c r="DK5" s="29">
        <f t="shared" si="20"/>
        <v>74800000</v>
      </c>
      <c r="DL5" s="29">
        <f t="shared" si="21"/>
        <v>74800000</v>
      </c>
    </row>
    <row r="6" spans="1:116" ht="32.25" customHeight="1" x14ac:dyDescent="0.25">
      <c r="A6" s="30"/>
      <c r="B6" s="223"/>
      <c r="C6" s="20" t="s">
        <v>47</v>
      </c>
      <c r="D6" s="21" t="s">
        <v>48</v>
      </c>
      <c r="E6" s="31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0.99997404761904762</v>
      </c>
      <c r="AB6" s="24">
        <f t="shared" si="2"/>
        <v>20999455</v>
      </c>
      <c r="AC6" s="24"/>
      <c r="AD6" s="24"/>
      <c r="AE6" s="24"/>
      <c r="AF6" s="24"/>
      <c r="AG6" s="24">
        <f>+'[2]DICIEMBRE 2016'!$O$3516</f>
        <v>20999455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2.5952380952376508E-5</v>
      </c>
      <c r="AX6" s="24">
        <f t="shared" si="4"/>
        <v>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0.99997404761904762</v>
      </c>
      <c r="BS6" s="24">
        <f t="shared" si="11"/>
        <v>20999455</v>
      </c>
      <c r="BT6" s="24"/>
      <c r="BU6" s="24"/>
      <c r="BV6" s="24"/>
      <c r="BW6" s="24"/>
      <c r="BX6" s="24">
        <f>+'[2]DICIEMBRE 2016'!$H$3514</f>
        <v>20999455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2.5952380952376508E-5</v>
      </c>
      <c r="CO6" s="24">
        <f t="shared" si="13"/>
        <v>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  <c r="DJ6" s="29">
        <f t="shared" si="19"/>
        <v>21000000</v>
      </c>
      <c r="DK6" s="29">
        <f t="shared" si="20"/>
        <v>21000000</v>
      </c>
      <c r="DL6" s="29">
        <f t="shared" si="21"/>
        <v>21000000</v>
      </c>
    </row>
    <row r="7" spans="1:116" ht="54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0.63407462077884125</v>
      </c>
      <c r="AB7" s="24">
        <f t="shared" si="2"/>
        <v>15773440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+'[2]DICIEMBRE 2016'!$AG$3531</f>
        <v>15773440</v>
      </c>
      <c r="AW7" s="25">
        <f t="shared" si="3"/>
        <v>0.36592537922115875</v>
      </c>
      <c r="AX7" s="24">
        <f t="shared" si="4"/>
        <v>9102875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9102875</v>
      </c>
      <c r="BR7" s="25">
        <f t="shared" si="10"/>
        <v>0.63407462077884125</v>
      </c>
      <c r="BS7" s="24">
        <f t="shared" si="11"/>
        <v>15773440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+'[2]DICIEMBRE 2016'!$H$3529</f>
        <v>15773440</v>
      </c>
      <c r="CN7" s="25">
        <f t="shared" si="12"/>
        <v>0.36592537922115875</v>
      </c>
      <c r="CO7" s="24">
        <f t="shared" si="13"/>
        <v>9102875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9102875</v>
      </c>
      <c r="DJ7" s="29">
        <f t="shared" si="19"/>
        <v>24876315</v>
      </c>
      <c r="DK7" s="29">
        <f t="shared" si="20"/>
        <v>24876315</v>
      </c>
      <c r="DL7" s="29">
        <f t="shared" si="21"/>
        <v>24876315</v>
      </c>
    </row>
    <row r="8" spans="1:116" ht="45" x14ac:dyDescent="0.25">
      <c r="A8" s="30"/>
      <c r="B8" s="222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0.66954429000000004</v>
      </c>
      <c r="AB8" s="24">
        <f t="shared" si="2"/>
        <v>133908858</v>
      </c>
      <c r="AC8" s="24"/>
      <c r="AD8" s="24"/>
      <c r="AE8" s="24">
        <f>+'[3]ENERO 2016'!$M$109</f>
        <v>6621400</v>
      </c>
      <c r="AF8" s="24"/>
      <c r="AG8" s="24">
        <f>+'[4]DICIEMBRE 2016'!$O$478</f>
        <v>127287458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0.33045570999999996</v>
      </c>
      <c r="AX8" s="24">
        <f t="shared" si="4"/>
        <v>66091142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66091142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0.66954429000000004</v>
      </c>
      <c r="BS8" s="24">
        <f t="shared" si="11"/>
        <v>133908858</v>
      </c>
      <c r="BT8" s="24"/>
      <c r="BU8" s="24"/>
      <c r="BV8" s="24">
        <f>+'[3]ENERO 2016'!$H$107</f>
        <v>6621400</v>
      </c>
      <c r="BW8" s="24"/>
      <c r="BX8" s="24">
        <f>+'[4]DICIEMBRE 2016'!$O$478</f>
        <v>127287458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0.33045570999999996</v>
      </c>
      <c r="CO8" s="24">
        <f t="shared" si="13"/>
        <v>66091142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66091142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  <c r="DJ8" s="29">
        <f t="shared" si="19"/>
        <v>200000000</v>
      </c>
      <c r="DK8" s="29">
        <f t="shared" si="20"/>
        <v>200000000</v>
      </c>
      <c r="DL8" s="29">
        <f t="shared" si="21"/>
        <v>200000000</v>
      </c>
    </row>
    <row r="9" spans="1:116" ht="64.5" customHeight="1" x14ac:dyDescent="0.25">
      <c r="A9" s="30"/>
      <c r="B9" s="235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0.64845522626112762</v>
      </c>
      <c r="AB9" s="24">
        <f t="shared" si="2"/>
        <v>349647058</v>
      </c>
      <c r="AC9" s="24"/>
      <c r="AD9" s="24"/>
      <c r="AE9" s="24">
        <f>+'[4]DICIEMBRE 2016'!$M$513</f>
        <v>207088469</v>
      </c>
      <c r="AF9" s="24"/>
      <c r="AG9" s="24">
        <f>+'[2]DICIEMBRE 2016'!$O$508</f>
        <v>94797911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+'[2]DICIEMBRE 2016'!$AG$508</f>
        <v>47760678</v>
      </c>
      <c r="AW9" s="25">
        <f t="shared" si="3"/>
        <v>0.35154477373887238</v>
      </c>
      <c r="AX9" s="24">
        <f t="shared" si="4"/>
        <v>189552942</v>
      </c>
      <c r="AY9" s="24">
        <f t="shared" si="5"/>
        <v>0</v>
      </c>
      <c r="AZ9" s="24">
        <f t="shared" si="6"/>
        <v>186290131</v>
      </c>
      <c r="BA9" s="24">
        <f t="shared" si="6"/>
        <v>0</v>
      </c>
      <c r="BB9" s="24">
        <f t="shared" si="7"/>
        <v>1023489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2239322</v>
      </c>
      <c r="BR9" s="25">
        <f t="shared" si="10"/>
        <v>0.64845522626112762</v>
      </c>
      <c r="BS9" s="24">
        <f t="shared" si="11"/>
        <v>349647058</v>
      </c>
      <c r="BT9" s="24"/>
      <c r="BU9" s="24"/>
      <c r="BV9" s="24">
        <f>+'[4]DICIEMBRE 2016'!$M$513</f>
        <v>207088469</v>
      </c>
      <c r="BW9" s="24"/>
      <c r="BX9" s="24">
        <f>+'[2]DICIEMBRE 2016'!$O$508</f>
        <v>94797911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+'[2]DICIEMBRE 2016'!$H$577+'[2]DICIEMBRE 2016'!$H$603+'[2]DICIEMBRE 2016'!$H$607+'[2]DICIEMBRE 2016'!$H$610+'[2]DICIEMBRE 2016'!$H$618+'[2]DICIEMBRE 2016'!$H$626+'[2]DICIEMBRE 2016'!$H$628+'[2]DICIEMBRE 2016'!$H$635+'[2]DICIEMBRE 2016'!$H$636+'[2]DICIEMBRE 2016'!$H$641+'[2]DICIEMBRE 2016'!$H$659+'[2]DICIEMBRE 2016'!$H$661+'[2]DICIEMBRE 2016'!$H$662+'[2]DICIEMBRE 2016'!$H$675+'[2]DICIEMBRE 2016'!$H$690+'[2]DICIEMBRE 2016'!$H$693+'[2]DICIEMBRE 2016'!$H$699+'[2]DICIEMBRE 2016'!$H$701+'[2]DICIEMBRE 2016'!$H$707+'[2]DICIEMBRE 2016'!$H$708+'[2]DICIEMBRE 2016'!$H$716+'[2]DICIEMBRE 2016'!$H$717+'[2]DICIEMBRE 2016'!$H$720+'[2]DICIEMBRE 2016'!$H$733+'[2]DICIEMBRE 2016'!$H$735+'[2]DICIEMBRE 2016'!$H$736+'[2]DICIEMBRE 2016'!$H$739+'[2]DICIEMBRE 2016'!$H$746+'[2]DICIEMBRE 2016'!$H$762+'[2]DICIEMBRE 2016'!$H$778+'[2]DICIEMBRE 2016'!$H$790+'[2]DICIEMBRE 2016'!$H$791+'[2]DICIEMBRE 2016'!$H$792+'[2]DICIEMBRE 2016'!$H$796+'[2]DICIEMBRE 2016'!$H$811+'[2]DICIEMBRE 2016'!$H$820+'[2]DICIEMBRE 2016'!$H$824+'[2]DICIEMBRE 2016'!$H$846+'[2]DICIEMBRE 2016'!$H$847+'[2]DICIEMBRE 2016'!$H$848+'[2]DICIEMBRE 2016'!$H$870+'[2]DICIEMBRE 2016'!$H$874</f>
        <v>47760678</v>
      </c>
      <c r="CN9" s="25">
        <f t="shared" si="12"/>
        <v>0.35154477373887238</v>
      </c>
      <c r="CO9" s="24">
        <f t="shared" si="13"/>
        <v>189552942</v>
      </c>
      <c r="CP9" s="24">
        <f t="shared" si="14"/>
        <v>0</v>
      </c>
      <c r="CQ9" s="24">
        <f t="shared" si="14"/>
        <v>186290131</v>
      </c>
      <c r="CR9" s="24">
        <f t="shared" si="14"/>
        <v>0</v>
      </c>
      <c r="CS9" s="24">
        <f t="shared" si="14"/>
        <v>1023489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2239322</v>
      </c>
      <c r="DJ9" s="29">
        <f t="shared" si="19"/>
        <v>539200000</v>
      </c>
      <c r="DK9" s="29">
        <f t="shared" si="20"/>
        <v>539200000</v>
      </c>
      <c r="DL9" s="29">
        <f t="shared" si="21"/>
        <v>539200000</v>
      </c>
    </row>
    <row r="10" spans="1:116" ht="19.5" customHeight="1" x14ac:dyDescent="0.25">
      <c r="A10" s="30"/>
      <c r="B10" s="235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0.9286861111111111</v>
      </c>
      <c r="AB10" s="24">
        <f t="shared" si="2"/>
        <v>33432700</v>
      </c>
      <c r="AC10" s="24"/>
      <c r="AD10" s="24"/>
      <c r="AE10" s="24"/>
      <c r="AF10" s="24"/>
      <c r="AG10" s="24">
        <f>+'[2]DICIEMBRE 2016'!$O$879</f>
        <v>33432700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7.1313888888888899E-2</v>
      </c>
      <c r="AX10" s="24">
        <f t="shared" si="4"/>
        <v>2567300</v>
      </c>
      <c r="AY10" s="24">
        <f t="shared" ref="AY10:AY16" si="22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2567300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0.9286861111111111</v>
      </c>
      <c r="BS10" s="24">
        <f t="shared" si="11"/>
        <v>33432700</v>
      </c>
      <c r="BT10" s="24"/>
      <c r="BU10" s="24"/>
      <c r="BV10" s="24"/>
      <c r="BW10" s="24"/>
      <c r="BX10" s="24">
        <f>+'[5]NOVIEMBRE 2016'!$H$825</f>
        <v>33432700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7.1313888888888899E-2</v>
      </c>
      <c r="CO10" s="24">
        <f t="shared" si="13"/>
        <v>2567300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2567300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  <c r="DJ10" s="29">
        <f t="shared" si="19"/>
        <v>36000000</v>
      </c>
      <c r="DK10" s="29">
        <f t="shared" si="20"/>
        <v>36000000</v>
      </c>
      <c r="DL10" s="29">
        <f t="shared" si="21"/>
        <v>36000000</v>
      </c>
    </row>
    <row r="11" spans="1:116" ht="33.75" customHeight="1" x14ac:dyDescent="0.25">
      <c r="A11" s="30"/>
      <c r="B11" s="235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0.53519015999999997</v>
      </c>
      <c r="AB11" s="24">
        <f t="shared" si="2"/>
        <v>26759508</v>
      </c>
      <c r="AC11" s="24"/>
      <c r="AD11" s="24"/>
      <c r="AE11" s="24">
        <f>+'[4]DICIEMBRE 2016'!$M$903</f>
        <v>26759508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0.46480984000000003</v>
      </c>
      <c r="AX11" s="24">
        <f t="shared" si="4"/>
        <v>23240492</v>
      </c>
      <c r="AY11" s="24">
        <f t="shared" si="22"/>
        <v>0</v>
      </c>
      <c r="AZ11" s="24">
        <f t="shared" si="6"/>
        <v>23240492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0.53519015999999997</v>
      </c>
      <c r="BS11" s="24">
        <f t="shared" si="11"/>
        <v>26759508</v>
      </c>
      <c r="BT11" s="24"/>
      <c r="BU11" s="24"/>
      <c r="BV11" s="24">
        <f>+'[4]DICIEMBRE 2016'!$M$903</f>
        <v>26759508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0.46480984000000003</v>
      </c>
      <c r="CO11" s="24">
        <f t="shared" si="13"/>
        <v>23240492</v>
      </c>
      <c r="CP11" s="24">
        <f t="shared" si="14"/>
        <v>0</v>
      </c>
      <c r="CQ11" s="24">
        <f t="shared" si="14"/>
        <v>23240492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  <c r="DJ11" s="29">
        <f t="shared" si="19"/>
        <v>50000000</v>
      </c>
      <c r="DK11" s="29">
        <f t="shared" si="20"/>
        <v>50000000</v>
      </c>
      <c r="DL11" s="29">
        <f t="shared" si="21"/>
        <v>50000000</v>
      </c>
    </row>
    <row r="12" spans="1:116" ht="21" customHeight="1" x14ac:dyDescent="0.25">
      <c r="A12" s="30"/>
      <c r="B12" s="223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0.78</v>
      </c>
      <c r="AB12" s="24">
        <f t="shared" si="2"/>
        <v>7800000</v>
      </c>
      <c r="AC12" s="24"/>
      <c r="AD12" s="24"/>
      <c r="AE12" s="24"/>
      <c r="AF12" s="24"/>
      <c r="AG12" s="24">
        <f>+'[2]DICIEMBRE 2016'!$O$922</f>
        <v>7800000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0.21999999999999997</v>
      </c>
      <c r="AX12" s="24">
        <f t="shared" si="4"/>
        <v>2200000</v>
      </c>
      <c r="AY12" s="24">
        <f t="shared" si="22"/>
        <v>0</v>
      </c>
      <c r="AZ12" s="24">
        <f t="shared" si="6"/>
        <v>0</v>
      </c>
      <c r="BA12" s="24">
        <f t="shared" si="6"/>
        <v>0</v>
      </c>
      <c r="BB12" s="24">
        <f t="shared" si="7"/>
        <v>2200000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  <c r="DJ12" s="29">
        <f t="shared" si="19"/>
        <v>10000000</v>
      </c>
      <c r="DK12" s="29">
        <f t="shared" si="20"/>
        <v>10000000</v>
      </c>
      <c r="DL12" s="29">
        <f t="shared" si="21"/>
        <v>10000000</v>
      </c>
    </row>
    <row r="13" spans="1:116" ht="76.5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0.86551666535115324</v>
      </c>
      <c r="AB13" s="24">
        <f t="shared" si="2"/>
        <v>244772148</v>
      </c>
      <c r="AC13" s="24"/>
      <c r="AD13" s="24"/>
      <c r="AE13" s="24"/>
      <c r="AF13" s="24"/>
      <c r="AG13" s="24">
        <f>+'[4]DICIEMBRE 2016'!$O$3556</f>
        <v>147340801</v>
      </c>
      <c r="AH13" s="24">
        <f>+'[5]NOVIEMBRE 2016'!$P$3385</f>
        <v>14004396</v>
      </c>
      <c r="AI13" s="24"/>
      <c r="AJ13" s="24"/>
      <c r="AK13" s="24"/>
      <c r="AL13" s="24"/>
      <c r="AM13" s="24"/>
      <c r="AN13" s="24"/>
      <c r="AO13" s="24"/>
      <c r="AP13" s="24">
        <f>+'[6]FEBRERO 2016'!$X$699</f>
        <v>1796640</v>
      </c>
      <c r="AQ13" s="24"/>
      <c r="AR13" s="24"/>
      <c r="AS13" s="24"/>
      <c r="AT13" s="24"/>
      <c r="AU13" s="24"/>
      <c r="AV13" s="24">
        <f>+'[4]DICIEMBRE 2016'!$AG$3556</f>
        <v>81630311</v>
      </c>
      <c r="AW13" s="25">
        <f t="shared" si="3"/>
        <v>0.13448333464884676</v>
      </c>
      <c r="AX13" s="24">
        <f t="shared" si="4"/>
        <v>38032514</v>
      </c>
      <c r="AY13" s="24">
        <f t="shared" si="22"/>
        <v>0</v>
      </c>
      <c r="AZ13" s="24">
        <f t="shared" si="6"/>
        <v>0</v>
      </c>
      <c r="BA13" s="24">
        <f t="shared" si="6"/>
        <v>0</v>
      </c>
      <c r="BB13" s="24">
        <f t="shared" si="7"/>
        <v>12659199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25373315</v>
      </c>
      <c r="BR13" s="25">
        <f t="shared" si="10"/>
        <v>0.86551666535115324</v>
      </c>
      <c r="BS13" s="24">
        <f t="shared" si="11"/>
        <v>244772148</v>
      </c>
      <c r="BT13" s="24"/>
      <c r="BU13" s="24"/>
      <c r="BV13" s="24"/>
      <c r="BW13" s="24"/>
      <c r="BX13" s="24">
        <f>+'[4]DICIEMBRE 2016'!$O$3556</f>
        <v>147340801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+'[4]DICIEMBRE 2016'!$AG$3556</f>
        <v>81630311</v>
      </c>
      <c r="CN13" s="25">
        <f t="shared" si="12"/>
        <v>0.13448333464884676</v>
      </c>
      <c r="CO13" s="24">
        <f t="shared" si="13"/>
        <v>38032514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12659199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>+Y13-CL13</f>
        <v>0</v>
      </c>
      <c r="DH13" s="24">
        <f t="shared" si="18"/>
        <v>25373315</v>
      </c>
      <c r="DJ13" s="29">
        <f t="shared" si="19"/>
        <v>282804662</v>
      </c>
      <c r="DK13" s="29">
        <f t="shared" si="20"/>
        <v>282804662</v>
      </c>
      <c r="DL13" s="29">
        <f t="shared" si="21"/>
        <v>282804662</v>
      </c>
    </row>
    <row r="14" spans="1:116" ht="45" customHeight="1" x14ac:dyDescent="0.25">
      <c r="A14" s="30"/>
      <c r="B14" s="222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105000000</v>
      </c>
      <c r="H14" s="24"/>
      <c r="I14" s="24"/>
      <c r="J14" s="24"/>
      <c r="K14" s="24">
        <f>65000000+40000000</f>
        <v>105000000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0.93779581904761899</v>
      </c>
      <c r="AB14" s="24">
        <f t="shared" si="2"/>
        <v>98468561</v>
      </c>
      <c r="AC14" s="24"/>
      <c r="AD14" s="24"/>
      <c r="AE14" s="24"/>
      <c r="AF14" s="24"/>
      <c r="AG14" s="24">
        <f>+'[2]DICIEMBRE 2016'!$O$3651</f>
        <v>98468561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6.2204180952381005E-2</v>
      </c>
      <c r="AX14" s="24">
        <f t="shared" si="4"/>
        <v>6531439</v>
      </c>
      <c r="AY14" s="24">
        <f t="shared" si="22"/>
        <v>0</v>
      </c>
      <c r="AZ14" s="24">
        <f t="shared" si="6"/>
        <v>0</v>
      </c>
      <c r="BA14" s="24">
        <f t="shared" si="6"/>
        <v>0</v>
      </c>
      <c r="BB14" s="24">
        <f t="shared" si="7"/>
        <v>6531439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0.93779581904761899</v>
      </c>
      <c r="BS14" s="24">
        <f t="shared" si="11"/>
        <v>98468561</v>
      </c>
      <c r="BT14" s="24"/>
      <c r="BU14" s="24"/>
      <c r="BV14" s="24"/>
      <c r="BW14" s="24"/>
      <c r="BX14" s="24">
        <f>+'[2]DICIEMBRE 2016'!$H$3649</f>
        <v>98468561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6.2204180952381005E-2</v>
      </c>
      <c r="CO14" s="24">
        <f t="shared" si="13"/>
        <v>6531439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6531439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  <c r="DJ14" s="29">
        <f t="shared" si="19"/>
        <v>105000000</v>
      </c>
      <c r="DK14" s="29">
        <f t="shared" si="20"/>
        <v>105000000</v>
      </c>
      <c r="DL14" s="29">
        <f t="shared" si="21"/>
        <v>105000000</v>
      </c>
    </row>
    <row r="15" spans="1:116" ht="45" x14ac:dyDescent="0.25">
      <c r="A15" s="30"/>
      <c r="B15" s="235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0.91025718749999995</v>
      </c>
      <c r="AB15" s="24">
        <f t="shared" si="2"/>
        <v>29128230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+'[2]DICIEMBRE 2016'!$W$3704</f>
        <v>27578230</v>
      </c>
      <c r="AP15" s="24"/>
      <c r="AQ15" s="24"/>
      <c r="AR15" s="24"/>
      <c r="AS15" s="24"/>
      <c r="AT15" s="24"/>
      <c r="AU15" s="24"/>
      <c r="AV15" s="24"/>
      <c r="AW15" s="25">
        <f t="shared" si="3"/>
        <v>8.9742812500000047E-2</v>
      </c>
      <c r="AX15" s="24">
        <f t="shared" si="4"/>
        <v>2871770</v>
      </c>
      <c r="AY15" s="24">
        <f t="shared" si="22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2853216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0.91025718749999995</v>
      </c>
      <c r="BS15" s="24">
        <f t="shared" si="11"/>
        <v>29128230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+'[2]DICIEMBRE 2016'!$W$3704</f>
        <v>27578230</v>
      </c>
      <c r="CG15" s="24"/>
      <c r="CH15" s="24"/>
      <c r="CI15" s="24"/>
      <c r="CJ15" s="24"/>
      <c r="CK15" s="24"/>
      <c r="CL15" s="24"/>
      <c r="CM15" s="24"/>
      <c r="CN15" s="25">
        <f t="shared" si="12"/>
        <v>8.9742812500000047E-2</v>
      </c>
      <c r="CO15" s="24">
        <f t="shared" si="13"/>
        <v>2871770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2853216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  <c r="DJ15" s="29">
        <f t="shared" si="19"/>
        <v>32000000</v>
      </c>
      <c r="DK15" s="29">
        <f t="shared" si="20"/>
        <v>32000000</v>
      </c>
      <c r="DL15" s="29">
        <f t="shared" si="21"/>
        <v>32000000</v>
      </c>
    </row>
    <row r="16" spans="1:116" ht="20.25" customHeight="1" x14ac:dyDescent="0.25">
      <c r="A16" s="30"/>
      <c r="B16" s="223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22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  <c r="DJ16" s="29">
        <f t="shared" si="19"/>
        <v>0</v>
      </c>
      <c r="DK16" s="29">
        <f t="shared" si="20"/>
        <v>0</v>
      </c>
      <c r="DL16" s="29">
        <f t="shared" si="21"/>
        <v>0</v>
      </c>
    </row>
    <row r="17" spans="1:116" ht="26.25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0.42875912337662336</v>
      </c>
      <c r="AB17" s="24">
        <f t="shared" si="2"/>
        <v>13205781</v>
      </c>
      <c r="AC17" s="24"/>
      <c r="AD17" s="24"/>
      <c r="AE17" s="24"/>
      <c r="AF17" s="24"/>
      <c r="AG17" s="24">
        <f>+'[4]DICIEMBRE 2016'!$O$3734</f>
        <v>13205781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0.57124087662337664</v>
      </c>
      <c r="AX17" s="24">
        <f t="shared" si="4"/>
        <v>17594219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17594219</v>
      </c>
      <c r="BC17" s="24">
        <f t="shared" ref="BC17:BM17" si="23">+L17</f>
        <v>0</v>
      </c>
      <c r="BD17" s="24">
        <f t="shared" si="23"/>
        <v>0</v>
      </c>
      <c r="BE17" s="24">
        <f t="shared" si="23"/>
        <v>0</v>
      </c>
      <c r="BF17" s="24">
        <f t="shared" si="23"/>
        <v>0</v>
      </c>
      <c r="BG17" s="24">
        <f t="shared" si="23"/>
        <v>0</v>
      </c>
      <c r="BH17" s="24">
        <f t="shared" si="23"/>
        <v>0</v>
      </c>
      <c r="BI17" s="24">
        <f t="shared" si="23"/>
        <v>0</v>
      </c>
      <c r="BJ17" s="24">
        <f t="shared" si="23"/>
        <v>0</v>
      </c>
      <c r="BK17" s="24">
        <f t="shared" si="23"/>
        <v>0</v>
      </c>
      <c r="BL17" s="24">
        <f t="shared" si="23"/>
        <v>0</v>
      </c>
      <c r="BM17" s="24">
        <f t="shared" si="23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0.42875912337662336</v>
      </c>
      <c r="BS17" s="24">
        <f t="shared" si="11"/>
        <v>13205781</v>
      </c>
      <c r="BT17" s="24"/>
      <c r="BU17" s="24"/>
      <c r="BV17" s="24"/>
      <c r="BW17" s="24"/>
      <c r="BX17" s="24">
        <f>+'[4]DICIEMBRE 2016'!$H$3732</f>
        <v>13205781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0.57124087662337664</v>
      </c>
      <c r="CO17" s="24">
        <f t="shared" si="13"/>
        <v>17594219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17594219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  <c r="DJ17" s="29">
        <f t="shared" si="19"/>
        <v>30800000</v>
      </c>
      <c r="DK17" s="29">
        <f t="shared" si="20"/>
        <v>30800000</v>
      </c>
      <c r="DL17" s="29">
        <f t="shared" si="21"/>
        <v>30800000</v>
      </c>
    </row>
    <row r="18" spans="1:116" ht="30" x14ac:dyDescent="0.25">
      <c r="A18" s="30"/>
      <c r="B18" s="222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4">H18-AD18</f>
        <v>0</v>
      </c>
      <c r="AZ18" s="24">
        <f t="shared" si="24"/>
        <v>0</v>
      </c>
      <c r="BA18" s="24">
        <f t="shared" si="24"/>
        <v>0</v>
      </c>
      <c r="BB18" s="24">
        <f>+K18-AG18</f>
        <v>0</v>
      </c>
      <c r="BC18" s="24">
        <f t="shared" ref="BC18:BM19" si="25">+L18-AH18</f>
        <v>0</v>
      </c>
      <c r="BD18" s="24">
        <f t="shared" si="25"/>
        <v>0</v>
      </c>
      <c r="BE18" s="24">
        <f t="shared" si="25"/>
        <v>0</v>
      </c>
      <c r="BF18" s="24">
        <f t="shared" si="25"/>
        <v>0</v>
      </c>
      <c r="BG18" s="24">
        <f t="shared" si="25"/>
        <v>0</v>
      </c>
      <c r="BH18" s="24">
        <f t="shared" si="25"/>
        <v>0</v>
      </c>
      <c r="BI18" s="24">
        <f t="shared" si="25"/>
        <v>0</v>
      </c>
      <c r="BJ18" s="24">
        <f t="shared" si="25"/>
        <v>0</v>
      </c>
      <c r="BK18" s="24">
        <f t="shared" si="25"/>
        <v>0</v>
      </c>
      <c r="BL18" s="24">
        <f t="shared" si="25"/>
        <v>0</v>
      </c>
      <c r="BM18" s="24">
        <f t="shared" si="25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6">+N18-CA18</f>
        <v>0</v>
      </c>
      <c r="CW18" s="24">
        <f t="shared" si="26"/>
        <v>0</v>
      </c>
      <c r="CX18" s="24">
        <f t="shared" si="26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7">+T18-CG18</f>
        <v>0</v>
      </c>
      <c r="DC18" s="24">
        <f t="shared" si="27"/>
        <v>0</v>
      </c>
      <c r="DD18" s="24">
        <f t="shared" si="27"/>
        <v>0</v>
      </c>
      <c r="DE18" s="24"/>
      <c r="DF18" s="24">
        <f t="shared" ref="DF18:DH19" si="28">+X18-CK18</f>
        <v>0</v>
      </c>
      <c r="DG18" s="24">
        <f t="shared" si="28"/>
        <v>0</v>
      </c>
      <c r="DH18" s="24">
        <f t="shared" si="28"/>
        <v>0</v>
      </c>
      <c r="DJ18" s="29">
        <f t="shared" si="19"/>
        <v>9057037</v>
      </c>
      <c r="DK18" s="29">
        <f t="shared" si="20"/>
        <v>9057037</v>
      </c>
      <c r="DL18" s="29">
        <f t="shared" si="21"/>
        <v>9057037</v>
      </c>
    </row>
    <row r="19" spans="1:116" ht="28.5" customHeight="1" x14ac:dyDescent="0.25">
      <c r="A19" s="35"/>
      <c r="B19" s="223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0.91308678307795221</v>
      </c>
      <c r="AB19" s="24">
        <f t="shared" si="2"/>
        <v>68429429</v>
      </c>
      <c r="AC19" s="24"/>
      <c r="AD19" s="24"/>
      <c r="AE19" s="24"/>
      <c r="AF19" s="24"/>
      <c r="AG19" s="24">
        <f>+'[5]NOVIEMBRE 2016'!$O$3605</f>
        <v>45175470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+'[4]DICIEMBRE 2016'!$AG$3787</f>
        <v>23253959</v>
      </c>
      <c r="AW19" s="25">
        <f t="shared" si="3"/>
        <v>8.6913216922047787E-2</v>
      </c>
      <c r="AX19" s="24">
        <f t="shared" si="4"/>
        <v>6513534</v>
      </c>
      <c r="AY19" s="24">
        <f t="shared" si="24"/>
        <v>0</v>
      </c>
      <c r="AZ19" s="24">
        <f t="shared" si="24"/>
        <v>0</v>
      </c>
      <c r="BA19" s="24">
        <f t="shared" si="24"/>
        <v>0</v>
      </c>
      <c r="BB19" s="24">
        <f>+K19-AG19</f>
        <v>2767493</v>
      </c>
      <c r="BC19" s="24">
        <f t="shared" si="25"/>
        <v>0</v>
      </c>
      <c r="BD19" s="24">
        <f t="shared" si="25"/>
        <v>0</v>
      </c>
      <c r="BE19" s="24">
        <f t="shared" si="25"/>
        <v>0</v>
      </c>
      <c r="BF19" s="24">
        <f t="shared" si="25"/>
        <v>0</v>
      </c>
      <c r="BG19" s="24">
        <f t="shared" si="25"/>
        <v>0</v>
      </c>
      <c r="BH19" s="24">
        <f t="shared" si="25"/>
        <v>0</v>
      </c>
      <c r="BI19" s="24">
        <f t="shared" si="25"/>
        <v>0</v>
      </c>
      <c r="BJ19" s="24">
        <f t="shared" si="25"/>
        <v>0</v>
      </c>
      <c r="BK19" s="24">
        <f t="shared" si="25"/>
        <v>0</v>
      </c>
      <c r="BL19" s="24">
        <f t="shared" si="25"/>
        <v>0</v>
      </c>
      <c r="BM19" s="24">
        <f t="shared" si="25"/>
        <v>0</v>
      </c>
      <c r="BN19" s="24"/>
      <c r="BO19" s="24"/>
      <c r="BP19" s="24">
        <f>Y19-AU19</f>
        <v>0</v>
      </c>
      <c r="BQ19" s="24">
        <f>+Z19-AV19</f>
        <v>3746041</v>
      </c>
      <c r="BR19" s="25">
        <f t="shared" si="10"/>
        <v>0.91308678307795221</v>
      </c>
      <c r="BS19" s="24">
        <f t="shared" si="11"/>
        <v>68429429</v>
      </c>
      <c r="BT19" s="24"/>
      <c r="BU19" s="24"/>
      <c r="BV19" s="24"/>
      <c r="BW19" s="24"/>
      <c r="BX19" s="24">
        <f>+'[2]DICIEMBRE 2016'!$O$3786</f>
        <v>45175470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+'[4]DICIEMBRE 2016'!$AG$3787</f>
        <v>23253959</v>
      </c>
      <c r="CN19" s="25">
        <f t="shared" si="12"/>
        <v>8.6913216922047787E-2</v>
      </c>
      <c r="CO19" s="24">
        <f t="shared" si="13"/>
        <v>6513534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2767493</v>
      </c>
      <c r="CT19" s="24">
        <f t="shared" si="14"/>
        <v>0</v>
      </c>
      <c r="CU19" s="24">
        <f t="shared" si="14"/>
        <v>0</v>
      </c>
      <c r="CV19" s="24">
        <f t="shared" si="26"/>
        <v>0</v>
      </c>
      <c r="CW19" s="24">
        <f t="shared" si="26"/>
        <v>0</v>
      </c>
      <c r="CX19" s="24">
        <f t="shared" si="26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7"/>
        <v>0</v>
      </c>
      <c r="DC19" s="24">
        <f t="shared" si="27"/>
        <v>0</v>
      </c>
      <c r="DD19" s="24">
        <f t="shared" si="27"/>
        <v>0</v>
      </c>
      <c r="DE19" s="24"/>
      <c r="DF19" s="24">
        <f t="shared" si="28"/>
        <v>0</v>
      </c>
      <c r="DG19" s="24">
        <f t="shared" si="28"/>
        <v>0</v>
      </c>
      <c r="DH19" s="24">
        <f t="shared" si="28"/>
        <v>3746041</v>
      </c>
      <c r="DJ19" s="29">
        <f t="shared" si="19"/>
        <v>74942963</v>
      </c>
      <c r="DK19" s="29">
        <f t="shared" si="20"/>
        <v>74942963</v>
      </c>
      <c r="DL19" s="29">
        <f t="shared" si="21"/>
        <v>74942963</v>
      </c>
    </row>
    <row r="20" spans="1:116" s="43" customFormat="1" ht="17.25" customHeight="1" thickBot="1" x14ac:dyDescent="0.3">
      <c r="A20" s="36"/>
      <c r="B20" s="242" t="s">
        <v>86</v>
      </c>
      <c r="C20" s="243"/>
      <c r="D20" s="243"/>
      <c r="E20" s="244"/>
      <c r="F20" s="37"/>
      <c r="G20" s="38">
        <f t="shared" ref="G20:V20" si="29">SUM(G4:G19)</f>
        <v>1515480977</v>
      </c>
      <c r="H20" s="38">
        <f t="shared" si="29"/>
        <v>0</v>
      </c>
      <c r="I20" s="38">
        <f t="shared" si="29"/>
        <v>450000000</v>
      </c>
      <c r="J20" s="38">
        <f t="shared" si="29"/>
        <v>0</v>
      </c>
      <c r="K20" s="38">
        <f t="shared" si="29"/>
        <v>789568554</v>
      </c>
      <c r="L20" s="38">
        <f t="shared" si="29"/>
        <v>14004396</v>
      </c>
      <c r="M20" s="38">
        <f t="shared" si="29"/>
        <v>0</v>
      </c>
      <c r="N20" s="38">
        <f t="shared" si="29"/>
        <v>0</v>
      </c>
      <c r="O20" s="38">
        <f t="shared" si="29"/>
        <v>0</v>
      </c>
      <c r="P20" s="38">
        <f t="shared" si="29"/>
        <v>0</v>
      </c>
      <c r="Q20" s="38">
        <f t="shared" si="29"/>
        <v>0</v>
      </c>
      <c r="R20" s="38">
        <f t="shared" si="29"/>
        <v>0</v>
      </c>
      <c r="S20" s="38">
        <f t="shared" si="29"/>
        <v>30431446</v>
      </c>
      <c r="T20" s="38">
        <f t="shared" si="29"/>
        <v>1796640</v>
      </c>
      <c r="U20" s="38">
        <f t="shared" si="29"/>
        <v>0</v>
      </c>
      <c r="V20" s="38">
        <f t="shared" si="29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229679941</v>
      </c>
      <c r="AA20" s="39">
        <f t="shared" si="1"/>
        <v>0.75917519418655166</v>
      </c>
      <c r="AB20" s="40">
        <f>SUM(AB4:AB19)</f>
        <v>1150515565</v>
      </c>
      <c r="AC20" s="40"/>
      <c r="AD20" s="40">
        <f t="shared" ref="AD20:AV20" si="30">SUM(AD4:AD19)</f>
        <v>0</v>
      </c>
      <c r="AE20" s="40">
        <f t="shared" si="30"/>
        <v>240469377</v>
      </c>
      <c r="AF20" s="40">
        <f t="shared" si="30"/>
        <v>0</v>
      </c>
      <c r="AG20" s="40">
        <f t="shared" si="30"/>
        <v>677448534</v>
      </c>
      <c r="AH20" s="40">
        <f t="shared" si="30"/>
        <v>14004396</v>
      </c>
      <c r="AI20" s="40">
        <f t="shared" si="30"/>
        <v>0</v>
      </c>
      <c r="AJ20" s="40">
        <f t="shared" si="30"/>
        <v>0</v>
      </c>
      <c r="AK20" s="40">
        <f t="shared" si="30"/>
        <v>0</v>
      </c>
      <c r="AL20" s="40">
        <f t="shared" si="30"/>
        <v>0</v>
      </c>
      <c r="AM20" s="40">
        <f t="shared" si="30"/>
        <v>0</v>
      </c>
      <c r="AN20" s="40">
        <f t="shared" si="30"/>
        <v>0</v>
      </c>
      <c r="AO20" s="40">
        <f t="shared" si="30"/>
        <v>27578230</v>
      </c>
      <c r="AP20" s="40">
        <f t="shared" si="30"/>
        <v>1796640</v>
      </c>
      <c r="AQ20" s="40">
        <f t="shared" si="30"/>
        <v>0</v>
      </c>
      <c r="AR20" s="40">
        <f t="shared" si="30"/>
        <v>0</v>
      </c>
      <c r="AS20" s="40">
        <f t="shared" si="30"/>
        <v>0</v>
      </c>
      <c r="AT20" s="40">
        <f t="shared" si="30"/>
        <v>0</v>
      </c>
      <c r="AU20" s="40">
        <f t="shared" si="30"/>
        <v>0</v>
      </c>
      <c r="AV20" s="40">
        <f t="shared" si="30"/>
        <v>189218388</v>
      </c>
      <c r="AW20" s="39">
        <f t="shared" si="3"/>
        <v>0.24082480581344834</v>
      </c>
      <c r="AX20" s="40">
        <f t="shared" ref="AX20:BM20" si="31">SUM(AX4:AX19)</f>
        <v>364965412</v>
      </c>
      <c r="AY20" s="40">
        <f t="shared" si="31"/>
        <v>0</v>
      </c>
      <c r="AZ20" s="40">
        <f t="shared" si="31"/>
        <v>209530623</v>
      </c>
      <c r="BA20" s="40">
        <f t="shared" si="31"/>
        <v>0</v>
      </c>
      <c r="BB20" s="40">
        <f t="shared" si="31"/>
        <v>112120020</v>
      </c>
      <c r="BC20" s="40">
        <f t="shared" si="31"/>
        <v>0</v>
      </c>
      <c r="BD20" s="40">
        <f t="shared" si="31"/>
        <v>0</v>
      </c>
      <c r="BE20" s="40">
        <f t="shared" si="31"/>
        <v>0</v>
      </c>
      <c r="BF20" s="40">
        <f t="shared" si="31"/>
        <v>0</v>
      </c>
      <c r="BG20" s="40">
        <f t="shared" si="31"/>
        <v>0</v>
      </c>
      <c r="BH20" s="40">
        <f t="shared" si="31"/>
        <v>0</v>
      </c>
      <c r="BI20" s="40">
        <f t="shared" si="31"/>
        <v>0</v>
      </c>
      <c r="BJ20" s="40">
        <f t="shared" si="31"/>
        <v>2853216</v>
      </c>
      <c r="BK20" s="40">
        <f t="shared" si="31"/>
        <v>0</v>
      </c>
      <c r="BL20" s="40">
        <f t="shared" si="31"/>
        <v>0</v>
      </c>
      <c r="BM20" s="40">
        <f t="shared" si="31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40461553</v>
      </c>
      <c r="BR20" s="39">
        <f t="shared" si="10"/>
        <v>0.75917519418655166</v>
      </c>
      <c r="BS20" s="40">
        <f t="shared" ref="BS20:CI20" si="32">SUM(BS4:BS19)</f>
        <v>1150515565</v>
      </c>
      <c r="BT20" s="40">
        <f t="shared" si="32"/>
        <v>0</v>
      </c>
      <c r="BU20" s="40">
        <f t="shared" si="32"/>
        <v>0</v>
      </c>
      <c r="BV20" s="40">
        <f t="shared" si="32"/>
        <v>240469377</v>
      </c>
      <c r="BW20" s="40">
        <f t="shared" si="32"/>
        <v>0</v>
      </c>
      <c r="BX20" s="40">
        <f t="shared" si="32"/>
        <v>677448534</v>
      </c>
      <c r="BY20" s="40">
        <f t="shared" si="32"/>
        <v>14004396</v>
      </c>
      <c r="BZ20" s="40">
        <f t="shared" si="32"/>
        <v>0</v>
      </c>
      <c r="CA20" s="40">
        <f t="shared" si="32"/>
        <v>0</v>
      </c>
      <c r="CB20" s="40">
        <f t="shared" si="32"/>
        <v>0</v>
      </c>
      <c r="CC20" s="40">
        <f t="shared" si="32"/>
        <v>0</v>
      </c>
      <c r="CD20" s="40">
        <f t="shared" si="32"/>
        <v>0</v>
      </c>
      <c r="CE20" s="40">
        <f t="shared" si="32"/>
        <v>0</v>
      </c>
      <c r="CF20" s="40">
        <f t="shared" si="32"/>
        <v>27578230</v>
      </c>
      <c r="CG20" s="40">
        <f t="shared" si="32"/>
        <v>1796640</v>
      </c>
      <c r="CH20" s="40">
        <f t="shared" si="32"/>
        <v>0</v>
      </c>
      <c r="CI20" s="40">
        <f t="shared" si="32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189218388</v>
      </c>
      <c r="CN20" s="39">
        <f t="shared" si="12"/>
        <v>0.24082480581344834</v>
      </c>
      <c r="CO20" s="40">
        <f t="shared" ref="CO20:DH20" si="33">SUM(CO4:CO19)</f>
        <v>364965412</v>
      </c>
      <c r="CP20" s="40">
        <f t="shared" si="33"/>
        <v>0</v>
      </c>
      <c r="CQ20" s="40">
        <f t="shared" si="33"/>
        <v>209530623</v>
      </c>
      <c r="CR20" s="40">
        <f t="shared" si="33"/>
        <v>0</v>
      </c>
      <c r="CS20" s="40">
        <f t="shared" si="33"/>
        <v>112120020</v>
      </c>
      <c r="CT20" s="40">
        <f t="shared" si="33"/>
        <v>0</v>
      </c>
      <c r="CU20" s="40">
        <f t="shared" si="33"/>
        <v>0</v>
      </c>
      <c r="CV20" s="40">
        <f t="shared" si="33"/>
        <v>0</v>
      </c>
      <c r="CW20" s="40">
        <f t="shared" si="33"/>
        <v>0</v>
      </c>
      <c r="CX20" s="40">
        <f t="shared" si="33"/>
        <v>0</v>
      </c>
      <c r="CY20" s="40">
        <f t="shared" si="33"/>
        <v>0</v>
      </c>
      <c r="CZ20" s="40">
        <f t="shared" si="33"/>
        <v>0</v>
      </c>
      <c r="DA20" s="40">
        <f t="shared" si="33"/>
        <v>2853216</v>
      </c>
      <c r="DB20" s="40">
        <f t="shared" si="33"/>
        <v>0</v>
      </c>
      <c r="DC20" s="40">
        <f t="shared" si="33"/>
        <v>0</v>
      </c>
      <c r="DD20" s="40">
        <f t="shared" si="33"/>
        <v>0</v>
      </c>
      <c r="DE20" s="40">
        <f t="shared" si="33"/>
        <v>0</v>
      </c>
      <c r="DF20" s="40">
        <f t="shared" si="33"/>
        <v>0</v>
      </c>
      <c r="DG20" s="40">
        <f t="shared" si="33"/>
        <v>0</v>
      </c>
      <c r="DH20" s="40">
        <f t="shared" si="33"/>
        <v>40461553</v>
      </c>
      <c r="DJ20" s="29">
        <f t="shared" si="19"/>
        <v>1515480977</v>
      </c>
      <c r="DK20" s="29">
        <f t="shared" si="20"/>
        <v>1515480977</v>
      </c>
      <c r="DL20" s="29">
        <f t="shared" si="21"/>
        <v>1515480977</v>
      </c>
    </row>
    <row r="21" spans="1:116" ht="27" customHeight="1" thickTop="1" x14ac:dyDescent="0.25">
      <c r="A21" s="19" t="s">
        <v>87</v>
      </c>
      <c r="B21" s="245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4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5">SUM(AC21:AV21)</f>
        <v>449538252</v>
      </c>
      <c r="AC21" s="24"/>
      <c r="AD21" s="24"/>
      <c r="AE21" s="24">
        <f>+'[9]AGOSTO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48">
        <f t="shared" si="3"/>
        <v>1.0261066666666929E-3</v>
      </c>
      <c r="AX21" s="24">
        <f t="shared" ref="AX21:AX59" si="36">SUM(AY21:BQ21)</f>
        <v>461748</v>
      </c>
      <c r="AY21" s="24">
        <f t="shared" ref="AY21:BA36" si="37">H21-AD21</f>
        <v>0</v>
      </c>
      <c r="AZ21" s="24">
        <f t="shared" si="37"/>
        <v>461748</v>
      </c>
      <c r="BA21" s="24">
        <f t="shared" si="37"/>
        <v>0</v>
      </c>
      <c r="BB21" s="24">
        <f t="shared" ref="BB21:BM23" si="38">+K21-AG21</f>
        <v>0</v>
      </c>
      <c r="BC21" s="24">
        <f t="shared" si="38"/>
        <v>0</v>
      </c>
      <c r="BD21" s="24">
        <f t="shared" si="38"/>
        <v>0</v>
      </c>
      <c r="BE21" s="24">
        <f t="shared" si="38"/>
        <v>0</v>
      </c>
      <c r="BF21" s="24">
        <f t="shared" si="38"/>
        <v>0</v>
      </c>
      <c r="BG21" s="24">
        <f t="shared" si="38"/>
        <v>0</v>
      </c>
      <c r="BH21" s="24">
        <f t="shared" si="38"/>
        <v>0</v>
      </c>
      <c r="BI21" s="24">
        <f t="shared" si="38"/>
        <v>0</v>
      </c>
      <c r="BJ21" s="24">
        <f t="shared" si="38"/>
        <v>0</v>
      </c>
      <c r="BK21" s="24">
        <f t="shared" si="38"/>
        <v>0</v>
      </c>
      <c r="BL21" s="24">
        <f t="shared" si="38"/>
        <v>0</v>
      </c>
      <c r="BM21" s="24">
        <f t="shared" si="38"/>
        <v>0</v>
      </c>
      <c r="BN21" s="24"/>
      <c r="BO21" s="24"/>
      <c r="BP21" s="24"/>
      <c r="BQ21" s="24">
        <f>+Z21-AV21</f>
        <v>0</v>
      </c>
      <c r="BR21" s="48">
        <f t="shared" si="10"/>
        <v>0.99897389333333331</v>
      </c>
      <c r="BS21" s="24">
        <f t="shared" ref="BS21:BS59" si="39">SUM(BT21:CM21)</f>
        <v>449538252</v>
      </c>
      <c r="BT21" s="24"/>
      <c r="BU21" s="24"/>
      <c r="BV21" s="24">
        <f>+'[10]SEPTIEMBRE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48">
        <f t="shared" si="12"/>
        <v>1.0261066666666929E-3</v>
      </c>
      <c r="CO21" s="24">
        <f t="shared" ref="CO21:CO59" si="40">SUM(CP21:DH21)</f>
        <v>461748</v>
      </c>
      <c r="CP21" s="24">
        <f t="shared" ref="CP21:CU36" si="41">H21-BU21</f>
        <v>0</v>
      </c>
      <c r="CQ21" s="24">
        <f t="shared" si="41"/>
        <v>461748</v>
      </c>
      <c r="CR21" s="24">
        <f t="shared" si="41"/>
        <v>0</v>
      </c>
      <c r="CS21" s="24">
        <f t="shared" si="41"/>
        <v>0</v>
      </c>
      <c r="CT21" s="24">
        <f t="shared" si="41"/>
        <v>0</v>
      </c>
      <c r="CU21" s="24">
        <f t="shared" si="41"/>
        <v>0</v>
      </c>
      <c r="CV21" s="24">
        <f t="shared" ref="CV21:CX23" si="42">+N21-CA21</f>
        <v>0</v>
      </c>
      <c r="CW21" s="24">
        <f t="shared" si="42"/>
        <v>0</v>
      </c>
      <c r="CX21" s="24">
        <f t="shared" si="42"/>
        <v>0</v>
      </c>
      <c r="CY21" s="24">
        <f t="shared" ref="CY21:DA23" si="43">Q21-CD21</f>
        <v>0</v>
      </c>
      <c r="CZ21" s="24">
        <f t="shared" si="43"/>
        <v>0</v>
      </c>
      <c r="DA21" s="24">
        <f t="shared" si="43"/>
        <v>0</v>
      </c>
      <c r="DB21" s="24">
        <f t="shared" ref="DB21:DD23" si="44">+T21-CG21</f>
        <v>0</v>
      </c>
      <c r="DC21" s="24">
        <f t="shared" si="44"/>
        <v>0</v>
      </c>
      <c r="DD21" s="24">
        <f t="shared" si="44"/>
        <v>0</v>
      </c>
      <c r="DE21" s="24"/>
      <c r="DF21" s="24">
        <f t="shared" ref="DF21:DH23" si="45">+X21-CK21</f>
        <v>0</v>
      </c>
      <c r="DG21" s="24">
        <f t="shared" si="45"/>
        <v>0</v>
      </c>
      <c r="DH21" s="45">
        <f t="shared" si="45"/>
        <v>0</v>
      </c>
      <c r="DJ21" s="29">
        <f t="shared" si="19"/>
        <v>450000000</v>
      </c>
      <c r="DK21" s="29">
        <f t="shared" si="20"/>
        <v>450000000</v>
      </c>
      <c r="DL21" s="29">
        <f t="shared" si="21"/>
        <v>450000000</v>
      </c>
    </row>
    <row r="22" spans="1:116" ht="48.75" customHeight="1" x14ac:dyDescent="0.25">
      <c r="A22" s="30"/>
      <c r="B22" s="240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4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0.99258345333333331</v>
      </c>
      <c r="AB22" s="24">
        <f t="shared" si="35"/>
        <v>148887518</v>
      </c>
      <c r="AC22" s="24"/>
      <c r="AD22" s="24"/>
      <c r="AE22" s="24">
        <f>+'[2]DICIEMBRE 2016'!$M$1693</f>
        <v>148887518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7.4165466666666902E-3</v>
      </c>
      <c r="AX22" s="24">
        <f t="shared" si="36"/>
        <v>1112482</v>
      </c>
      <c r="AY22" s="24">
        <f t="shared" si="37"/>
        <v>0</v>
      </c>
      <c r="AZ22" s="24">
        <f t="shared" si="37"/>
        <v>1112482</v>
      </c>
      <c r="BA22" s="24">
        <f t="shared" si="37"/>
        <v>0</v>
      </c>
      <c r="BB22" s="24">
        <f t="shared" si="38"/>
        <v>0</v>
      </c>
      <c r="BC22" s="24">
        <f t="shared" si="38"/>
        <v>0</v>
      </c>
      <c r="BD22" s="24">
        <f t="shared" si="38"/>
        <v>0</v>
      </c>
      <c r="BE22" s="24">
        <f t="shared" si="38"/>
        <v>0</v>
      </c>
      <c r="BF22" s="24">
        <f t="shared" si="38"/>
        <v>0</v>
      </c>
      <c r="BG22" s="24">
        <f t="shared" si="38"/>
        <v>0</v>
      </c>
      <c r="BH22" s="24">
        <f t="shared" si="38"/>
        <v>0</v>
      </c>
      <c r="BI22" s="24">
        <f t="shared" si="38"/>
        <v>0</v>
      </c>
      <c r="BJ22" s="24">
        <f t="shared" si="38"/>
        <v>0</v>
      </c>
      <c r="BK22" s="24">
        <f t="shared" si="38"/>
        <v>0</v>
      </c>
      <c r="BL22" s="24">
        <f t="shared" si="38"/>
        <v>0</v>
      </c>
      <c r="BM22" s="24">
        <f t="shared" si="38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9"/>
        <v>148887518</v>
      </c>
      <c r="BT22" s="24"/>
      <c r="BU22" s="24"/>
      <c r="BV22" s="24">
        <f>+'[10]SEPTIEMBRE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40"/>
        <v>1112482</v>
      </c>
      <c r="CP22" s="24">
        <f t="shared" si="41"/>
        <v>0</v>
      </c>
      <c r="CQ22" s="24">
        <f t="shared" si="41"/>
        <v>1112482</v>
      </c>
      <c r="CR22" s="24">
        <f t="shared" si="41"/>
        <v>0</v>
      </c>
      <c r="CS22" s="24">
        <f t="shared" si="41"/>
        <v>0</v>
      </c>
      <c r="CT22" s="24">
        <f t="shared" si="41"/>
        <v>0</v>
      </c>
      <c r="CU22" s="24">
        <f t="shared" si="41"/>
        <v>0</v>
      </c>
      <c r="CV22" s="24">
        <f t="shared" si="42"/>
        <v>0</v>
      </c>
      <c r="CW22" s="24">
        <f t="shared" si="42"/>
        <v>0</v>
      </c>
      <c r="CX22" s="24">
        <f t="shared" si="42"/>
        <v>0</v>
      </c>
      <c r="CY22" s="24">
        <f t="shared" si="43"/>
        <v>0</v>
      </c>
      <c r="CZ22" s="24">
        <f t="shared" si="43"/>
        <v>0</v>
      </c>
      <c r="DA22" s="24">
        <f t="shared" si="43"/>
        <v>0</v>
      </c>
      <c r="DB22" s="24">
        <f t="shared" si="44"/>
        <v>0</v>
      </c>
      <c r="DC22" s="24">
        <f t="shared" si="44"/>
        <v>0</v>
      </c>
      <c r="DD22" s="24">
        <f t="shared" si="44"/>
        <v>0</v>
      </c>
      <c r="DE22" s="24"/>
      <c r="DF22" s="24">
        <f t="shared" si="45"/>
        <v>0</v>
      </c>
      <c r="DG22" s="24">
        <f t="shared" si="45"/>
        <v>0</v>
      </c>
      <c r="DH22" s="24">
        <f t="shared" si="45"/>
        <v>0</v>
      </c>
      <c r="DJ22" s="29">
        <f t="shared" si="19"/>
        <v>150000000</v>
      </c>
      <c r="DK22" s="29">
        <f t="shared" si="20"/>
        <v>150000000</v>
      </c>
      <c r="DL22" s="29">
        <f t="shared" si="21"/>
        <v>150000000</v>
      </c>
    </row>
    <row r="23" spans="1:116" ht="33.75" customHeight="1" x14ac:dyDescent="0.25">
      <c r="A23" s="30"/>
      <c r="B23" s="241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4"/>
        <v>959325162</v>
      </c>
      <c r="H23" s="24"/>
      <c r="I23" s="24">
        <f>200000000+400000000+39616700+228708462+75000000</f>
        <v>943325162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0.99622002721950909</v>
      </c>
      <c r="AB23" s="24">
        <f t="shared" si="35"/>
        <v>955698939</v>
      </c>
      <c r="AC23" s="24"/>
      <c r="AD23" s="24"/>
      <c r="AE23" s="24">
        <f>+'[4]DICIEMBRE 2016'!$M$1700</f>
        <v>943133259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+'[2]DICIEMBRE 2016'!$AG$1711</f>
        <v>12565680</v>
      </c>
      <c r="AW23" s="25">
        <f t="shared" si="3"/>
        <v>3.7799727804909145E-3</v>
      </c>
      <c r="AX23" s="24">
        <f t="shared" si="36"/>
        <v>3626223</v>
      </c>
      <c r="AY23" s="24">
        <f t="shared" si="37"/>
        <v>0</v>
      </c>
      <c r="AZ23" s="24">
        <f t="shared" si="37"/>
        <v>191903</v>
      </c>
      <c r="BA23" s="24">
        <f t="shared" si="37"/>
        <v>0</v>
      </c>
      <c r="BB23" s="24">
        <f t="shared" si="38"/>
        <v>0</v>
      </c>
      <c r="BC23" s="24">
        <f t="shared" si="38"/>
        <v>0</v>
      </c>
      <c r="BD23" s="24">
        <f t="shared" si="38"/>
        <v>0</v>
      </c>
      <c r="BE23" s="24">
        <f t="shared" si="38"/>
        <v>0</v>
      </c>
      <c r="BF23" s="24">
        <f t="shared" si="38"/>
        <v>0</v>
      </c>
      <c r="BG23" s="24">
        <f t="shared" si="38"/>
        <v>0</v>
      </c>
      <c r="BH23" s="24">
        <f t="shared" si="38"/>
        <v>0</v>
      </c>
      <c r="BI23" s="24">
        <f t="shared" si="38"/>
        <v>0</v>
      </c>
      <c r="BJ23" s="24">
        <f t="shared" si="38"/>
        <v>0</v>
      </c>
      <c r="BK23" s="24">
        <f t="shared" si="38"/>
        <v>0</v>
      </c>
      <c r="BL23" s="24">
        <f t="shared" si="38"/>
        <v>0</v>
      </c>
      <c r="BM23" s="24">
        <f t="shared" si="38"/>
        <v>0</v>
      </c>
      <c r="BN23" s="24"/>
      <c r="BO23" s="24"/>
      <c r="BP23" s="24"/>
      <c r="BQ23" s="24">
        <f>+Z23-AV23</f>
        <v>3434320</v>
      </c>
      <c r="BR23" s="25">
        <f t="shared" si="10"/>
        <v>0.99622002721950909</v>
      </c>
      <c r="BS23" s="24">
        <f t="shared" si="39"/>
        <v>955698939</v>
      </c>
      <c r="BT23" s="24"/>
      <c r="BU23" s="24"/>
      <c r="BV23" s="24">
        <f>+'[4]DICIEMBRE 2016'!$M$1700</f>
        <v>943133259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+'[2]DICIEMBRE 2016'!$AG$1711</f>
        <v>12565680</v>
      </c>
      <c r="CN23" s="25">
        <f t="shared" si="12"/>
        <v>3.7799727804909145E-3</v>
      </c>
      <c r="CO23" s="24">
        <f t="shared" si="40"/>
        <v>3626223</v>
      </c>
      <c r="CP23" s="24">
        <f t="shared" si="41"/>
        <v>0</v>
      </c>
      <c r="CQ23" s="24">
        <f t="shared" si="41"/>
        <v>191903</v>
      </c>
      <c r="CR23" s="24">
        <f t="shared" si="41"/>
        <v>0</v>
      </c>
      <c r="CS23" s="24">
        <f t="shared" si="41"/>
        <v>0</v>
      </c>
      <c r="CT23" s="24">
        <f t="shared" si="41"/>
        <v>0</v>
      </c>
      <c r="CU23" s="24">
        <f t="shared" si="41"/>
        <v>0</v>
      </c>
      <c r="CV23" s="24">
        <f t="shared" si="42"/>
        <v>0</v>
      </c>
      <c r="CW23" s="24">
        <f t="shared" si="42"/>
        <v>0</v>
      </c>
      <c r="CX23" s="24">
        <f t="shared" si="42"/>
        <v>0</v>
      </c>
      <c r="CY23" s="24">
        <f t="shared" si="43"/>
        <v>0</v>
      </c>
      <c r="CZ23" s="24">
        <f t="shared" si="43"/>
        <v>0</v>
      </c>
      <c r="DA23" s="24">
        <f t="shared" si="43"/>
        <v>0</v>
      </c>
      <c r="DB23" s="24">
        <f t="shared" si="44"/>
        <v>0</v>
      </c>
      <c r="DC23" s="24">
        <f t="shared" si="44"/>
        <v>0</v>
      </c>
      <c r="DD23" s="24">
        <f t="shared" si="44"/>
        <v>0</v>
      </c>
      <c r="DE23" s="24"/>
      <c r="DF23" s="24">
        <f t="shared" si="45"/>
        <v>0</v>
      </c>
      <c r="DG23" s="24">
        <f t="shared" si="45"/>
        <v>0</v>
      </c>
      <c r="DH23" s="24">
        <f t="shared" si="45"/>
        <v>3434320</v>
      </c>
      <c r="DJ23" s="29">
        <f t="shared" si="19"/>
        <v>959325162</v>
      </c>
      <c r="DK23" s="29">
        <f t="shared" si="20"/>
        <v>959325162</v>
      </c>
      <c r="DL23" s="29">
        <f t="shared" si="21"/>
        <v>959325162</v>
      </c>
    </row>
    <row r="24" spans="1:116" ht="34.5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4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0.98675661999999997</v>
      </c>
      <c r="AB24" s="24">
        <f t="shared" si="35"/>
        <v>49337831</v>
      </c>
      <c r="AC24" s="24"/>
      <c r="AD24" s="24"/>
      <c r="AE24" s="24">
        <f>+'[4]DICIEMBRE 2016'!$M$1772</f>
        <v>49337831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1.3243380000000027E-2</v>
      </c>
      <c r="AX24" s="24">
        <f t="shared" si="36"/>
        <v>662169</v>
      </c>
      <c r="AY24" s="24"/>
      <c r="AZ24" s="24">
        <f t="shared" si="37"/>
        <v>662169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0.98675661999999997</v>
      </c>
      <c r="BS24" s="24">
        <f t="shared" si="39"/>
        <v>49337831</v>
      </c>
      <c r="BT24" s="24"/>
      <c r="BU24" s="24"/>
      <c r="BV24" s="24">
        <f>+'[4]DICIEMBRE 2016'!$M$1772</f>
        <v>49337831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1.3243380000000027E-2</v>
      </c>
      <c r="CO24" s="24">
        <f t="shared" si="40"/>
        <v>662169</v>
      </c>
      <c r="CP24" s="24"/>
      <c r="CQ24" s="24">
        <f t="shared" si="41"/>
        <v>662169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J24" s="29">
        <f t="shared" si="19"/>
        <v>50000000</v>
      </c>
      <c r="DK24" s="29">
        <f t="shared" si="20"/>
        <v>50000000</v>
      </c>
      <c r="DL24" s="29">
        <f t="shared" si="21"/>
        <v>50000000</v>
      </c>
    </row>
    <row r="25" spans="1:116" ht="48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4"/>
        <v>175000000</v>
      </c>
      <c r="H25" s="24"/>
      <c r="I25" s="24">
        <f>250000000-75000000</f>
        <v>175000000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0.38839961142857143</v>
      </c>
      <c r="AB25" s="24">
        <f t="shared" si="35"/>
        <v>67969932</v>
      </c>
      <c r="AC25" s="24"/>
      <c r="AD25" s="24"/>
      <c r="AE25" s="24">
        <f>+'[4]DICIEMBRE 2016'!$M$1790</f>
        <v>67969932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0.61160038857142851</v>
      </c>
      <c r="AX25" s="24">
        <f t="shared" si="36"/>
        <v>107030068</v>
      </c>
      <c r="AY25" s="24"/>
      <c r="AZ25" s="24">
        <f t="shared" si="37"/>
        <v>107030068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0.38839961142857143</v>
      </c>
      <c r="BS25" s="24">
        <f t="shared" si="39"/>
        <v>67969932</v>
      </c>
      <c r="BT25" s="24"/>
      <c r="BU25" s="24"/>
      <c r="BV25" s="24">
        <f>+'[4]DICIEMBRE 2016'!$H$1788</f>
        <v>67969932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0.61160038857142851</v>
      </c>
      <c r="CO25" s="24">
        <f t="shared" si="40"/>
        <v>107030068</v>
      </c>
      <c r="CP25" s="24"/>
      <c r="CQ25" s="24">
        <f t="shared" si="41"/>
        <v>107030068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J25" s="29">
        <f t="shared" si="19"/>
        <v>175000000</v>
      </c>
      <c r="DK25" s="29">
        <f t="shared" si="20"/>
        <v>175000000</v>
      </c>
      <c r="DL25" s="29">
        <f t="shared" si="21"/>
        <v>175000000</v>
      </c>
    </row>
    <row r="26" spans="1:116" ht="36" customHeight="1" x14ac:dyDescent="0.25">
      <c r="A26" s="30"/>
      <c r="B26" s="239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4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0.5699999</v>
      </c>
      <c r="AB26" s="24">
        <f t="shared" si="35"/>
        <v>5699999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+'[4]DICIEMBRE 2016'!$G$1827</f>
        <v>5699999</v>
      </c>
      <c r="AR26" s="24"/>
      <c r="AS26" s="24"/>
      <c r="AT26" s="24"/>
      <c r="AU26" s="24"/>
      <c r="AV26" s="24"/>
      <c r="AW26" s="25">
        <f t="shared" si="3"/>
        <v>0.4300001</v>
      </c>
      <c r="AX26" s="24">
        <f t="shared" si="36"/>
        <v>4300001</v>
      </c>
      <c r="AY26" s="24">
        <f t="shared" ref="AY26:BM59" si="46">H26-AD26</f>
        <v>0</v>
      </c>
      <c r="AZ26" s="24">
        <f t="shared" si="37"/>
        <v>0</v>
      </c>
      <c r="BA26" s="24">
        <f t="shared" si="37"/>
        <v>0</v>
      </c>
      <c r="BB26" s="24">
        <f t="shared" ref="BB26:BM37" si="47">+K26-AG26</f>
        <v>0</v>
      </c>
      <c r="BC26" s="24">
        <f t="shared" si="47"/>
        <v>0</v>
      </c>
      <c r="BD26" s="24">
        <f t="shared" si="47"/>
        <v>0</v>
      </c>
      <c r="BE26" s="24">
        <f t="shared" si="47"/>
        <v>0</v>
      </c>
      <c r="BF26" s="24">
        <f t="shared" si="47"/>
        <v>0</v>
      </c>
      <c r="BG26" s="24">
        <f t="shared" si="47"/>
        <v>0</v>
      </c>
      <c r="BH26" s="24">
        <f t="shared" si="47"/>
        <v>0</v>
      </c>
      <c r="BI26" s="24">
        <f t="shared" si="47"/>
        <v>0</v>
      </c>
      <c r="BJ26" s="24">
        <f t="shared" si="47"/>
        <v>0</v>
      </c>
      <c r="BK26" s="24">
        <f t="shared" si="47"/>
        <v>0</v>
      </c>
      <c r="BL26" s="24">
        <f t="shared" si="47"/>
        <v>4300001</v>
      </c>
      <c r="BM26" s="24">
        <f t="shared" si="47"/>
        <v>0</v>
      </c>
      <c r="BN26" s="24"/>
      <c r="BO26" s="24"/>
      <c r="BP26" s="24"/>
      <c r="BQ26" s="24">
        <f t="shared" ref="BQ26:BQ37" si="48">+Z26-AV26</f>
        <v>0</v>
      </c>
      <c r="BR26" s="25">
        <f t="shared" si="10"/>
        <v>0.5699999</v>
      </c>
      <c r="BS26" s="24">
        <f t="shared" si="39"/>
        <v>5699999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+'[4]DICIEMBRE 2016'!$H$1827</f>
        <v>5699999</v>
      </c>
      <c r="CI26" s="24"/>
      <c r="CJ26" s="24"/>
      <c r="CK26" s="24"/>
      <c r="CL26" s="24"/>
      <c r="CM26" s="24"/>
      <c r="CN26" s="25">
        <f t="shared" si="12"/>
        <v>0.4300001</v>
      </c>
      <c r="CO26" s="24">
        <f t="shared" si="40"/>
        <v>4300001</v>
      </c>
      <c r="CP26" s="24">
        <f t="shared" ref="CP26:CU59" si="49">H26-BU26</f>
        <v>0</v>
      </c>
      <c r="CQ26" s="24">
        <f t="shared" si="41"/>
        <v>0</v>
      </c>
      <c r="CR26" s="24">
        <f t="shared" si="41"/>
        <v>0</v>
      </c>
      <c r="CS26" s="24">
        <f t="shared" si="41"/>
        <v>0</v>
      </c>
      <c r="CT26" s="24">
        <f t="shared" si="41"/>
        <v>0</v>
      </c>
      <c r="CU26" s="24">
        <f t="shared" si="41"/>
        <v>0</v>
      </c>
      <c r="CV26" s="24">
        <f t="shared" ref="CV26:CX37" si="50">+N26-CA26</f>
        <v>0</v>
      </c>
      <c r="CW26" s="24">
        <f t="shared" si="50"/>
        <v>0</v>
      </c>
      <c r="CX26" s="24">
        <f t="shared" si="50"/>
        <v>0</v>
      </c>
      <c r="CY26" s="24">
        <f t="shared" ref="CY26:DD47" si="51">Q26-CD26</f>
        <v>0</v>
      </c>
      <c r="CZ26" s="24">
        <f t="shared" si="51"/>
        <v>0</v>
      </c>
      <c r="DA26" s="24">
        <f t="shared" si="51"/>
        <v>0</v>
      </c>
      <c r="DB26" s="24">
        <f t="shared" ref="DB26:DD31" si="52">+T26-CG26</f>
        <v>0</v>
      </c>
      <c r="DC26" s="24">
        <f t="shared" si="52"/>
        <v>4300001</v>
      </c>
      <c r="DD26" s="24">
        <f t="shared" si="52"/>
        <v>0</v>
      </c>
      <c r="DE26" s="24"/>
      <c r="DF26" s="24">
        <f t="shared" ref="DF26:DH31" si="53">+X26-CK26</f>
        <v>0</v>
      </c>
      <c r="DG26" s="24">
        <f t="shared" si="53"/>
        <v>0</v>
      </c>
      <c r="DH26" s="24">
        <f t="shared" si="53"/>
        <v>0</v>
      </c>
      <c r="DJ26" s="29">
        <f t="shared" si="19"/>
        <v>10000000</v>
      </c>
      <c r="DK26" s="29">
        <f t="shared" si="20"/>
        <v>10000000</v>
      </c>
      <c r="DL26" s="29">
        <f t="shared" si="21"/>
        <v>10000000</v>
      </c>
    </row>
    <row r="27" spans="1:116" ht="33" customHeight="1" x14ac:dyDescent="0.25">
      <c r="A27" s="30"/>
      <c r="B27" s="240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4"/>
        <v>20000000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f>10000000+10000000</f>
        <v>20000000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5"/>
        <v>20000000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+'[5]NOVIEMBRE 2016'!$Y$1737</f>
        <v>20000000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6"/>
        <v>0</v>
      </c>
      <c r="AY27" s="24">
        <f t="shared" si="46"/>
        <v>0</v>
      </c>
      <c r="AZ27" s="24">
        <f t="shared" si="37"/>
        <v>0</v>
      </c>
      <c r="BA27" s="24">
        <f t="shared" si="37"/>
        <v>0</v>
      </c>
      <c r="BB27" s="24">
        <f t="shared" si="47"/>
        <v>0</v>
      </c>
      <c r="BC27" s="24">
        <f t="shared" si="47"/>
        <v>0</v>
      </c>
      <c r="BD27" s="24">
        <f t="shared" si="47"/>
        <v>0</v>
      </c>
      <c r="BE27" s="24">
        <f t="shared" si="47"/>
        <v>0</v>
      </c>
      <c r="BF27" s="24">
        <f t="shared" si="47"/>
        <v>0</v>
      </c>
      <c r="BG27" s="24">
        <f t="shared" si="47"/>
        <v>0</v>
      </c>
      <c r="BH27" s="24">
        <f t="shared" si="47"/>
        <v>0</v>
      </c>
      <c r="BI27" s="24">
        <f t="shared" si="47"/>
        <v>0</v>
      </c>
      <c r="BJ27" s="24">
        <f t="shared" si="47"/>
        <v>0</v>
      </c>
      <c r="BK27" s="24">
        <f t="shared" si="47"/>
        <v>0</v>
      </c>
      <c r="BL27" s="24">
        <f t="shared" si="47"/>
        <v>0</v>
      </c>
      <c r="BM27" s="24">
        <f t="shared" si="47"/>
        <v>0</v>
      </c>
      <c r="BN27" s="24"/>
      <c r="BO27" s="24"/>
      <c r="BP27" s="24"/>
      <c r="BQ27" s="24">
        <f t="shared" si="48"/>
        <v>0</v>
      </c>
      <c r="BR27" s="25">
        <f t="shared" si="10"/>
        <v>1</v>
      </c>
      <c r="BS27" s="24">
        <f t="shared" si="39"/>
        <v>20000000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+'[5]NOVIEMBRE 2016'!$H$1735</f>
        <v>20000000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40"/>
        <v>0</v>
      </c>
      <c r="CP27" s="24">
        <f t="shared" si="49"/>
        <v>0</v>
      </c>
      <c r="CQ27" s="24">
        <f t="shared" si="41"/>
        <v>0</v>
      </c>
      <c r="CR27" s="24">
        <f t="shared" si="41"/>
        <v>0</v>
      </c>
      <c r="CS27" s="24">
        <f t="shared" si="41"/>
        <v>0</v>
      </c>
      <c r="CT27" s="24">
        <f t="shared" si="41"/>
        <v>0</v>
      </c>
      <c r="CU27" s="24">
        <f t="shared" si="41"/>
        <v>0</v>
      </c>
      <c r="CV27" s="24">
        <f t="shared" si="50"/>
        <v>0</v>
      </c>
      <c r="CW27" s="24">
        <f t="shared" si="50"/>
        <v>0</v>
      </c>
      <c r="CX27" s="24">
        <f t="shared" si="50"/>
        <v>0</v>
      </c>
      <c r="CY27" s="24">
        <f t="shared" si="51"/>
        <v>0</v>
      </c>
      <c r="CZ27" s="24">
        <f t="shared" si="51"/>
        <v>0</v>
      </c>
      <c r="DA27" s="24">
        <f t="shared" si="51"/>
        <v>0</v>
      </c>
      <c r="DB27" s="24">
        <f t="shared" si="52"/>
        <v>0</v>
      </c>
      <c r="DC27" s="24">
        <f t="shared" si="52"/>
        <v>0</v>
      </c>
      <c r="DD27" s="24">
        <f t="shared" si="52"/>
        <v>0</v>
      </c>
      <c r="DE27" s="24"/>
      <c r="DF27" s="24">
        <f t="shared" si="53"/>
        <v>0</v>
      </c>
      <c r="DG27" s="24">
        <f t="shared" si="53"/>
        <v>0</v>
      </c>
      <c r="DH27" s="24">
        <f t="shared" si="53"/>
        <v>0</v>
      </c>
      <c r="DJ27" s="29">
        <f t="shared" si="19"/>
        <v>20000000</v>
      </c>
      <c r="DK27" s="29">
        <f t="shared" si="20"/>
        <v>20000000</v>
      </c>
      <c r="DL27" s="29">
        <f t="shared" si="21"/>
        <v>20000000</v>
      </c>
    </row>
    <row r="28" spans="1:116" ht="36.75" customHeight="1" x14ac:dyDescent="0.25">
      <c r="A28" s="30"/>
      <c r="B28" s="240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4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5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6"/>
        <v>0</v>
      </c>
      <c r="AY28" s="24">
        <f t="shared" si="46"/>
        <v>0</v>
      </c>
      <c r="AZ28" s="24">
        <f t="shared" si="37"/>
        <v>0</v>
      </c>
      <c r="BA28" s="24">
        <f t="shared" si="37"/>
        <v>0</v>
      </c>
      <c r="BB28" s="24">
        <f t="shared" si="47"/>
        <v>0</v>
      </c>
      <c r="BC28" s="24">
        <f t="shared" si="47"/>
        <v>0</v>
      </c>
      <c r="BD28" s="24">
        <f t="shared" si="47"/>
        <v>0</v>
      </c>
      <c r="BE28" s="24">
        <f t="shared" si="47"/>
        <v>0</v>
      </c>
      <c r="BF28" s="24">
        <f t="shared" si="47"/>
        <v>0</v>
      </c>
      <c r="BG28" s="24">
        <f t="shared" si="47"/>
        <v>0</v>
      </c>
      <c r="BH28" s="24">
        <f t="shared" si="47"/>
        <v>0</v>
      </c>
      <c r="BI28" s="24">
        <f t="shared" si="47"/>
        <v>0</v>
      </c>
      <c r="BJ28" s="24">
        <f t="shared" si="47"/>
        <v>0</v>
      </c>
      <c r="BK28" s="24">
        <f t="shared" si="47"/>
        <v>0</v>
      </c>
      <c r="BL28" s="24">
        <f t="shared" si="47"/>
        <v>0</v>
      </c>
      <c r="BM28" s="24">
        <f t="shared" si="47"/>
        <v>0</v>
      </c>
      <c r="BN28" s="24"/>
      <c r="BO28" s="24"/>
      <c r="BP28" s="24"/>
      <c r="BQ28" s="24">
        <f t="shared" si="48"/>
        <v>0</v>
      </c>
      <c r="BR28" s="25" t="e">
        <f t="shared" si="10"/>
        <v>#DIV/0!</v>
      </c>
      <c r="BS28" s="24">
        <f t="shared" si="39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40"/>
        <v>0</v>
      </c>
      <c r="CP28" s="24">
        <f t="shared" si="49"/>
        <v>0</v>
      </c>
      <c r="CQ28" s="24">
        <f t="shared" si="41"/>
        <v>0</v>
      </c>
      <c r="CR28" s="24">
        <f t="shared" si="41"/>
        <v>0</v>
      </c>
      <c r="CS28" s="24">
        <f t="shared" si="41"/>
        <v>0</v>
      </c>
      <c r="CT28" s="24">
        <f t="shared" si="41"/>
        <v>0</v>
      </c>
      <c r="CU28" s="24">
        <f t="shared" si="41"/>
        <v>0</v>
      </c>
      <c r="CV28" s="24">
        <f t="shared" si="50"/>
        <v>0</v>
      </c>
      <c r="CW28" s="24">
        <f t="shared" si="50"/>
        <v>0</v>
      </c>
      <c r="CX28" s="24">
        <f t="shared" si="50"/>
        <v>0</v>
      </c>
      <c r="CY28" s="24">
        <f t="shared" si="51"/>
        <v>0</v>
      </c>
      <c r="CZ28" s="24">
        <f t="shared" si="51"/>
        <v>0</v>
      </c>
      <c r="DA28" s="24">
        <f t="shared" si="51"/>
        <v>0</v>
      </c>
      <c r="DB28" s="24">
        <f t="shared" si="52"/>
        <v>0</v>
      </c>
      <c r="DC28" s="24">
        <f t="shared" si="52"/>
        <v>0</v>
      </c>
      <c r="DD28" s="24">
        <f t="shared" si="52"/>
        <v>0</v>
      </c>
      <c r="DE28" s="24"/>
      <c r="DF28" s="24">
        <f t="shared" si="53"/>
        <v>0</v>
      </c>
      <c r="DG28" s="24">
        <f t="shared" si="53"/>
        <v>0</v>
      </c>
      <c r="DH28" s="24">
        <f t="shared" si="53"/>
        <v>0</v>
      </c>
      <c r="DJ28" s="29">
        <f t="shared" si="19"/>
        <v>0</v>
      </c>
      <c r="DK28" s="29">
        <f t="shared" si="20"/>
        <v>0</v>
      </c>
      <c r="DL28" s="29">
        <f t="shared" si="21"/>
        <v>0</v>
      </c>
    </row>
    <row r="29" spans="1:116" ht="33.75" customHeight="1" x14ac:dyDescent="0.25">
      <c r="A29" s="30"/>
      <c r="B29" s="240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4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0.86802470370370366</v>
      </c>
      <c r="AB29" s="24">
        <f t="shared" si="35"/>
        <v>23436667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+'[4]DICIEMBRE 2016'!$Y$1854</f>
        <v>23436667</v>
      </c>
      <c r="AR29" s="24"/>
      <c r="AS29" s="24"/>
      <c r="AT29" s="24"/>
      <c r="AU29" s="24"/>
      <c r="AV29" s="24"/>
      <c r="AW29" s="25">
        <f t="shared" si="3"/>
        <v>0.13197529629629634</v>
      </c>
      <c r="AX29" s="24">
        <f t="shared" si="36"/>
        <v>3563333</v>
      </c>
      <c r="AY29" s="24">
        <f t="shared" si="46"/>
        <v>0</v>
      </c>
      <c r="AZ29" s="24">
        <f t="shared" si="37"/>
        <v>0</v>
      </c>
      <c r="BA29" s="24">
        <f t="shared" si="37"/>
        <v>0</v>
      </c>
      <c r="BB29" s="24">
        <f t="shared" si="47"/>
        <v>0</v>
      </c>
      <c r="BC29" s="24">
        <f t="shared" si="47"/>
        <v>0</v>
      </c>
      <c r="BD29" s="24">
        <f t="shared" si="47"/>
        <v>0</v>
      </c>
      <c r="BE29" s="24">
        <f t="shared" si="47"/>
        <v>0</v>
      </c>
      <c r="BF29" s="24">
        <f t="shared" si="47"/>
        <v>0</v>
      </c>
      <c r="BG29" s="24">
        <f t="shared" si="47"/>
        <v>0</v>
      </c>
      <c r="BH29" s="24">
        <f t="shared" si="47"/>
        <v>0</v>
      </c>
      <c r="BI29" s="24">
        <f t="shared" si="47"/>
        <v>0</v>
      </c>
      <c r="BJ29" s="24">
        <f t="shared" si="47"/>
        <v>0</v>
      </c>
      <c r="BK29" s="24">
        <f t="shared" si="47"/>
        <v>0</v>
      </c>
      <c r="BL29" s="24">
        <f t="shared" si="47"/>
        <v>3563333</v>
      </c>
      <c r="BM29" s="24">
        <f t="shared" si="47"/>
        <v>0</v>
      </c>
      <c r="BN29" s="24"/>
      <c r="BO29" s="24"/>
      <c r="BP29" s="24"/>
      <c r="BQ29" s="24">
        <f t="shared" si="48"/>
        <v>0</v>
      </c>
      <c r="BR29" s="25">
        <f t="shared" si="10"/>
        <v>0.86802470370370366</v>
      </c>
      <c r="BS29" s="24">
        <f t="shared" si="39"/>
        <v>23436667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+'[4]DICIEMBRE 2016'!$Y$1854</f>
        <v>23436667</v>
      </c>
      <c r="CI29" s="24"/>
      <c r="CJ29" s="24"/>
      <c r="CK29" s="24"/>
      <c r="CL29" s="24"/>
      <c r="CM29" s="24"/>
      <c r="CN29" s="25">
        <f t="shared" si="12"/>
        <v>0.13197529629629634</v>
      </c>
      <c r="CO29" s="24">
        <f t="shared" si="40"/>
        <v>3563333</v>
      </c>
      <c r="CP29" s="24">
        <f t="shared" si="49"/>
        <v>0</v>
      </c>
      <c r="CQ29" s="24">
        <f t="shared" si="41"/>
        <v>0</v>
      </c>
      <c r="CR29" s="24">
        <f t="shared" si="41"/>
        <v>0</v>
      </c>
      <c r="CS29" s="24">
        <f t="shared" si="41"/>
        <v>0</v>
      </c>
      <c r="CT29" s="24">
        <f t="shared" si="41"/>
        <v>0</v>
      </c>
      <c r="CU29" s="24">
        <f t="shared" si="41"/>
        <v>0</v>
      </c>
      <c r="CV29" s="24">
        <f t="shared" si="50"/>
        <v>0</v>
      </c>
      <c r="CW29" s="24">
        <f t="shared" si="50"/>
        <v>0</v>
      </c>
      <c r="CX29" s="24">
        <f t="shared" si="50"/>
        <v>0</v>
      </c>
      <c r="CY29" s="24">
        <f t="shared" si="51"/>
        <v>0</v>
      </c>
      <c r="CZ29" s="24">
        <f t="shared" si="51"/>
        <v>0</v>
      </c>
      <c r="DA29" s="24">
        <f t="shared" si="51"/>
        <v>0</v>
      </c>
      <c r="DB29" s="24">
        <f t="shared" si="52"/>
        <v>0</v>
      </c>
      <c r="DC29" s="24">
        <f t="shared" si="52"/>
        <v>3563333</v>
      </c>
      <c r="DD29" s="24">
        <f t="shared" si="52"/>
        <v>0</v>
      </c>
      <c r="DE29" s="24"/>
      <c r="DF29" s="24">
        <f t="shared" si="53"/>
        <v>0</v>
      </c>
      <c r="DG29" s="24">
        <f t="shared" si="53"/>
        <v>0</v>
      </c>
      <c r="DH29" s="24">
        <f t="shared" si="53"/>
        <v>0</v>
      </c>
      <c r="DJ29" s="29">
        <f t="shared" si="19"/>
        <v>27000000</v>
      </c>
      <c r="DK29" s="29">
        <f t="shared" si="20"/>
        <v>27000000</v>
      </c>
      <c r="DL29" s="29">
        <f t="shared" si="21"/>
        <v>27000000</v>
      </c>
    </row>
    <row r="30" spans="1:116" ht="37.5" customHeight="1" x14ac:dyDescent="0.25">
      <c r="A30" s="30"/>
      <c r="B30" s="240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4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0.91219008994276374</v>
      </c>
      <c r="AB30" s="24">
        <f t="shared" si="35"/>
        <v>111560848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+'[4]DICIEMBRE 2016'!$Y$1868</f>
        <v>99183605</v>
      </c>
      <c r="AR30" s="24"/>
      <c r="AS30" s="24"/>
      <c r="AT30" s="24"/>
      <c r="AU30" s="24"/>
      <c r="AV30" s="24">
        <v>1150500</v>
      </c>
      <c r="AW30" s="25">
        <f t="shared" si="3"/>
        <v>8.7809910057236262E-2</v>
      </c>
      <c r="AX30" s="24">
        <f t="shared" si="36"/>
        <v>10739152</v>
      </c>
      <c r="AY30" s="24">
        <f t="shared" si="46"/>
        <v>0</v>
      </c>
      <c r="AZ30" s="24">
        <f t="shared" si="37"/>
        <v>0</v>
      </c>
      <c r="BA30" s="24">
        <f t="shared" si="37"/>
        <v>0</v>
      </c>
      <c r="BB30" s="24">
        <f t="shared" si="47"/>
        <v>0</v>
      </c>
      <c r="BC30" s="24">
        <f t="shared" si="47"/>
        <v>0</v>
      </c>
      <c r="BD30" s="24">
        <f t="shared" si="47"/>
        <v>0</v>
      </c>
      <c r="BE30" s="24">
        <f t="shared" si="47"/>
        <v>0</v>
      </c>
      <c r="BF30" s="24">
        <f t="shared" si="47"/>
        <v>0</v>
      </c>
      <c r="BG30" s="24">
        <f t="shared" si="47"/>
        <v>0</v>
      </c>
      <c r="BH30" s="24">
        <f t="shared" si="47"/>
        <v>0</v>
      </c>
      <c r="BI30" s="24">
        <f t="shared" si="47"/>
        <v>6073257</v>
      </c>
      <c r="BJ30" s="24">
        <f t="shared" si="47"/>
        <v>0</v>
      </c>
      <c r="BK30" s="24">
        <f t="shared" si="47"/>
        <v>0</v>
      </c>
      <c r="BL30" s="24">
        <f t="shared" si="47"/>
        <v>816395</v>
      </c>
      <c r="BM30" s="24">
        <f t="shared" si="47"/>
        <v>0</v>
      </c>
      <c r="BN30" s="24"/>
      <c r="BO30" s="24"/>
      <c r="BP30" s="24"/>
      <c r="BQ30" s="24">
        <f t="shared" si="48"/>
        <v>3849500</v>
      </c>
      <c r="BR30" s="25">
        <f t="shared" si="10"/>
        <v>0.91219008994276374</v>
      </c>
      <c r="BS30" s="24">
        <f t="shared" si="39"/>
        <v>111560848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+'[4]DICIEMBRE 2016'!$Y$1868</f>
        <v>99183605</v>
      </c>
      <c r="CI30" s="24"/>
      <c r="CJ30" s="24"/>
      <c r="CK30" s="24"/>
      <c r="CL30" s="24"/>
      <c r="CM30" s="24">
        <v>1150500</v>
      </c>
      <c r="CN30" s="25">
        <f t="shared" si="12"/>
        <v>8.7809910057236262E-2</v>
      </c>
      <c r="CO30" s="24">
        <f t="shared" si="40"/>
        <v>10739152</v>
      </c>
      <c r="CP30" s="24">
        <f t="shared" si="49"/>
        <v>0</v>
      </c>
      <c r="CQ30" s="24">
        <f t="shared" si="41"/>
        <v>0</v>
      </c>
      <c r="CR30" s="24">
        <f t="shared" si="41"/>
        <v>0</v>
      </c>
      <c r="CS30" s="24">
        <f t="shared" si="41"/>
        <v>0</v>
      </c>
      <c r="CT30" s="24">
        <f t="shared" si="41"/>
        <v>0</v>
      </c>
      <c r="CU30" s="24">
        <f t="shared" si="41"/>
        <v>0</v>
      </c>
      <c r="CV30" s="24">
        <f t="shared" si="50"/>
        <v>0</v>
      </c>
      <c r="CW30" s="24">
        <f t="shared" si="50"/>
        <v>0</v>
      </c>
      <c r="CX30" s="24">
        <f t="shared" si="50"/>
        <v>0</v>
      </c>
      <c r="CY30" s="24">
        <f t="shared" si="51"/>
        <v>0</v>
      </c>
      <c r="CZ30" s="24">
        <f t="shared" si="51"/>
        <v>6073257</v>
      </c>
      <c r="DA30" s="24">
        <f t="shared" si="51"/>
        <v>0</v>
      </c>
      <c r="DB30" s="24">
        <f t="shared" si="52"/>
        <v>0</v>
      </c>
      <c r="DC30" s="24">
        <f t="shared" si="52"/>
        <v>816395</v>
      </c>
      <c r="DD30" s="24">
        <f t="shared" si="52"/>
        <v>0</v>
      </c>
      <c r="DE30" s="24"/>
      <c r="DF30" s="24">
        <f t="shared" si="53"/>
        <v>0</v>
      </c>
      <c r="DG30" s="24">
        <f t="shared" si="53"/>
        <v>0</v>
      </c>
      <c r="DH30" s="24">
        <f t="shared" si="53"/>
        <v>3849500</v>
      </c>
      <c r="DJ30" s="29">
        <f t="shared" si="19"/>
        <v>122300000</v>
      </c>
      <c r="DK30" s="29">
        <f t="shared" si="20"/>
        <v>122300000</v>
      </c>
      <c r="DL30" s="29">
        <f t="shared" si="21"/>
        <v>122300000</v>
      </c>
    </row>
    <row r="31" spans="1:116" ht="33.75" customHeight="1" x14ac:dyDescent="0.25">
      <c r="A31" s="30"/>
      <c r="B31" s="240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4"/>
        <v>90000000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f>100000000-10000000</f>
        <v>90000000</v>
      </c>
      <c r="V31" s="24"/>
      <c r="W31" s="24"/>
      <c r="X31" s="24"/>
      <c r="Y31" s="24"/>
      <c r="Z31" s="24"/>
      <c r="AA31" s="25">
        <f t="shared" si="1"/>
        <v>0.98921490000000001</v>
      </c>
      <c r="AB31" s="24">
        <f t="shared" si="35"/>
        <v>89029341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+'[4]DICIEMBRE 2016'!$Y$1926</f>
        <v>89029341</v>
      </c>
      <c r="AR31" s="24"/>
      <c r="AS31" s="24"/>
      <c r="AT31" s="24"/>
      <c r="AU31" s="24"/>
      <c r="AV31" s="24"/>
      <c r="AW31" s="25">
        <f t="shared" si="3"/>
        <v>1.0785099999999992E-2</v>
      </c>
      <c r="AX31" s="24">
        <f t="shared" si="36"/>
        <v>970659</v>
      </c>
      <c r="AY31" s="24">
        <f t="shared" si="46"/>
        <v>0</v>
      </c>
      <c r="AZ31" s="24">
        <f t="shared" si="37"/>
        <v>0</v>
      </c>
      <c r="BA31" s="24">
        <f t="shared" si="37"/>
        <v>0</v>
      </c>
      <c r="BB31" s="24">
        <f t="shared" si="47"/>
        <v>0</v>
      </c>
      <c r="BC31" s="24">
        <f t="shared" si="47"/>
        <v>0</v>
      </c>
      <c r="BD31" s="24">
        <f t="shared" si="47"/>
        <v>0</v>
      </c>
      <c r="BE31" s="24">
        <f t="shared" si="47"/>
        <v>0</v>
      </c>
      <c r="BF31" s="24">
        <f t="shared" si="47"/>
        <v>0</v>
      </c>
      <c r="BG31" s="24">
        <f t="shared" si="47"/>
        <v>0</v>
      </c>
      <c r="BH31" s="24">
        <f t="shared" si="47"/>
        <v>0</v>
      </c>
      <c r="BI31" s="24">
        <f t="shared" si="47"/>
        <v>0</v>
      </c>
      <c r="BJ31" s="24">
        <f t="shared" si="47"/>
        <v>0</v>
      </c>
      <c r="BK31" s="24">
        <f t="shared" si="47"/>
        <v>0</v>
      </c>
      <c r="BL31" s="24">
        <f t="shared" si="47"/>
        <v>970659</v>
      </c>
      <c r="BM31" s="24">
        <f t="shared" si="47"/>
        <v>0</v>
      </c>
      <c r="BN31" s="24"/>
      <c r="BO31" s="24"/>
      <c r="BP31" s="24"/>
      <c r="BQ31" s="24">
        <f t="shared" si="48"/>
        <v>0</v>
      </c>
      <c r="BR31" s="25">
        <f t="shared" si="10"/>
        <v>0.98921490000000001</v>
      </c>
      <c r="BS31" s="24">
        <f t="shared" si="39"/>
        <v>89029341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+'[4]DICIEMBRE 2016'!$Y$1926</f>
        <v>89029341</v>
      </c>
      <c r="CI31" s="24"/>
      <c r="CJ31" s="24"/>
      <c r="CK31" s="24"/>
      <c r="CL31" s="24"/>
      <c r="CM31" s="24"/>
      <c r="CN31" s="25">
        <f t="shared" si="12"/>
        <v>1.0785099999999992E-2</v>
      </c>
      <c r="CO31" s="24">
        <f t="shared" si="40"/>
        <v>970659</v>
      </c>
      <c r="CP31" s="24">
        <f t="shared" si="49"/>
        <v>0</v>
      </c>
      <c r="CQ31" s="24">
        <f t="shared" si="41"/>
        <v>0</v>
      </c>
      <c r="CR31" s="24">
        <f t="shared" si="41"/>
        <v>0</v>
      </c>
      <c r="CS31" s="24">
        <f t="shared" si="41"/>
        <v>0</v>
      </c>
      <c r="CT31" s="24">
        <f t="shared" si="41"/>
        <v>0</v>
      </c>
      <c r="CU31" s="24">
        <f t="shared" si="41"/>
        <v>0</v>
      </c>
      <c r="CV31" s="24">
        <f t="shared" si="50"/>
        <v>0</v>
      </c>
      <c r="CW31" s="24">
        <f t="shared" si="50"/>
        <v>0</v>
      </c>
      <c r="CX31" s="24">
        <f t="shared" si="50"/>
        <v>0</v>
      </c>
      <c r="CY31" s="24">
        <f t="shared" si="51"/>
        <v>0</v>
      </c>
      <c r="CZ31" s="24">
        <f t="shared" si="51"/>
        <v>0</v>
      </c>
      <c r="DA31" s="24">
        <f t="shared" si="51"/>
        <v>0</v>
      </c>
      <c r="DB31" s="24">
        <f t="shared" si="52"/>
        <v>0</v>
      </c>
      <c r="DC31" s="24">
        <f t="shared" si="52"/>
        <v>970659</v>
      </c>
      <c r="DD31" s="24">
        <f t="shared" si="52"/>
        <v>0</v>
      </c>
      <c r="DE31" s="24"/>
      <c r="DF31" s="24">
        <f t="shared" si="53"/>
        <v>0</v>
      </c>
      <c r="DG31" s="24">
        <f t="shared" si="53"/>
        <v>0</v>
      </c>
      <c r="DH31" s="24">
        <f t="shared" si="53"/>
        <v>0</v>
      </c>
      <c r="DJ31" s="29">
        <f t="shared" si="19"/>
        <v>90000000</v>
      </c>
      <c r="DK31" s="29">
        <f t="shared" si="20"/>
        <v>90000000</v>
      </c>
      <c r="DL31" s="29">
        <f t="shared" si="21"/>
        <v>90000000</v>
      </c>
    </row>
    <row r="32" spans="1:116" ht="22.5" customHeight="1" x14ac:dyDescent="0.25">
      <c r="A32" s="30"/>
      <c r="B32" s="240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4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0.82352929411764708</v>
      </c>
      <c r="AB32" s="24">
        <f t="shared" si="35"/>
        <v>13999998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+'[2]DICIEMBRE 2016'!$AG$1958</f>
        <v>13999998</v>
      </c>
      <c r="AW32" s="25">
        <f t="shared" si="3"/>
        <v>0.17647070588235292</v>
      </c>
      <c r="AX32" s="24">
        <f t="shared" si="36"/>
        <v>3000002</v>
      </c>
      <c r="AY32" s="24">
        <f t="shared" si="46"/>
        <v>0</v>
      </c>
      <c r="AZ32" s="24">
        <f t="shared" si="37"/>
        <v>0</v>
      </c>
      <c r="BA32" s="24">
        <f t="shared" si="37"/>
        <v>0</v>
      </c>
      <c r="BB32" s="24">
        <f t="shared" si="47"/>
        <v>0</v>
      </c>
      <c r="BC32" s="24">
        <f t="shared" si="47"/>
        <v>0</v>
      </c>
      <c r="BD32" s="24">
        <f t="shared" si="47"/>
        <v>0</v>
      </c>
      <c r="BE32" s="24">
        <f t="shared" si="47"/>
        <v>0</v>
      </c>
      <c r="BF32" s="24">
        <f t="shared" si="47"/>
        <v>0</v>
      </c>
      <c r="BG32" s="24">
        <f t="shared" si="47"/>
        <v>0</v>
      </c>
      <c r="BH32" s="24">
        <f t="shared" si="47"/>
        <v>0</v>
      </c>
      <c r="BI32" s="24">
        <f t="shared" si="47"/>
        <v>0</v>
      </c>
      <c r="BJ32" s="24">
        <f t="shared" si="47"/>
        <v>0</v>
      </c>
      <c r="BK32" s="24"/>
      <c r="BL32" s="24">
        <f t="shared" si="47"/>
        <v>0</v>
      </c>
      <c r="BM32" s="24">
        <f t="shared" si="47"/>
        <v>0</v>
      </c>
      <c r="BN32" s="24"/>
      <c r="BO32" s="24"/>
      <c r="BP32" s="24"/>
      <c r="BQ32" s="24">
        <f t="shared" si="48"/>
        <v>3000002</v>
      </c>
      <c r="BR32" s="25">
        <f t="shared" si="10"/>
        <v>0.82352929411764708</v>
      </c>
      <c r="BS32" s="24">
        <f t="shared" si="39"/>
        <v>13999998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+'[2]DICIEMBRE 2016'!$AG$1958</f>
        <v>13999998</v>
      </c>
      <c r="CN32" s="25">
        <f t="shared" si="12"/>
        <v>0.17647070588235292</v>
      </c>
      <c r="CO32" s="24">
        <f t="shared" si="40"/>
        <v>3000002</v>
      </c>
      <c r="CP32" s="24">
        <f t="shared" si="49"/>
        <v>0</v>
      </c>
      <c r="CQ32" s="24">
        <f t="shared" si="41"/>
        <v>0</v>
      </c>
      <c r="CR32" s="24">
        <f t="shared" si="41"/>
        <v>0</v>
      </c>
      <c r="CS32" s="24">
        <f t="shared" si="41"/>
        <v>0</v>
      </c>
      <c r="CT32" s="24">
        <f t="shared" si="41"/>
        <v>0</v>
      </c>
      <c r="CU32" s="24">
        <f t="shared" si="41"/>
        <v>0</v>
      </c>
      <c r="CV32" s="24">
        <f t="shared" si="50"/>
        <v>0</v>
      </c>
      <c r="CW32" s="24">
        <f t="shared" si="50"/>
        <v>0</v>
      </c>
      <c r="CX32" s="24">
        <f t="shared" si="50"/>
        <v>0</v>
      </c>
      <c r="CY32" s="24">
        <f t="shared" si="51"/>
        <v>0</v>
      </c>
      <c r="CZ32" s="24">
        <f t="shared" si="51"/>
        <v>0</v>
      </c>
      <c r="DA32" s="24">
        <f t="shared" si="51"/>
        <v>0</v>
      </c>
      <c r="DB32" s="24">
        <f t="shared" si="51"/>
        <v>0</v>
      </c>
      <c r="DC32" s="24">
        <f t="shared" si="51"/>
        <v>0</v>
      </c>
      <c r="DD32" s="24">
        <f t="shared" si="51"/>
        <v>0</v>
      </c>
      <c r="DE32" s="24"/>
      <c r="DF32" s="24">
        <f t="shared" ref="DF32:DH47" si="54">X32-CK32</f>
        <v>0</v>
      </c>
      <c r="DG32" s="24">
        <f t="shared" si="54"/>
        <v>0</v>
      </c>
      <c r="DH32" s="24">
        <f t="shared" si="54"/>
        <v>3000002</v>
      </c>
      <c r="DJ32" s="29">
        <f t="shared" si="19"/>
        <v>17000000</v>
      </c>
      <c r="DK32" s="29">
        <f t="shared" si="20"/>
        <v>17000000</v>
      </c>
      <c r="DL32" s="29">
        <f t="shared" si="21"/>
        <v>17000000</v>
      </c>
    </row>
    <row r="33" spans="1:117" ht="33.75" customHeight="1" x14ac:dyDescent="0.25">
      <c r="A33" s="30"/>
      <c r="B33" s="240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4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0.68442400000000003</v>
      </c>
      <c r="AB33" s="24">
        <f t="shared" si="35"/>
        <v>6844240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+'[2]DICIEMBRE 2016'!$AG$1976</f>
        <v>6844240</v>
      </c>
      <c r="AW33" s="25">
        <f t="shared" si="3"/>
        <v>0.31557599999999997</v>
      </c>
      <c r="AX33" s="24">
        <f t="shared" si="36"/>
        <v>3155760</v>
      </c>
      <c r="AY33" s="24">
        <f t="shared" si="46"/>
        <v>0</v>
      </c>
      <c r="AZ33" s="24">
        <f t="shared" si="37"/>
        <v>0</v>
      </c>
      <c r="BA33" s="24">
        <f t="shared" si="37"/>
        <v>0</v>
      </c>
      <c r="BB33" s="24">
        <f t="shared" si="47"/>
        <v>0</v>
      </c>
      <c r="BC33" s="24">
        <f t="shared" si="47"/>
        <v>0</v>
      </c>
      <c r="BD33" s="24">
        <f t="shared" si="47"/>
        <v>0</v>
      </c>
      <c r="BE33" s="24">
        <f t="shared" si="47"/>
        <v>0</v>
      </c>
      <c r="BF33" s="24">
        <f t="shared" si="47"/>
        <v>0</v>
      </c>
      <c r="BG33" s="24">
        <f t="shared" si="47"/>
        <v>0</v>
      </c>
      <c r="BH33" s="24">
        <f t="shared" si="47"/>
        <v>0</v>
      </c>
      <c r="BI33" s="24">
        <f t="shared" si="47"/>
        <v>0</v>
      </c>
      <c r="BJ33" s="24">
        <f t="shared" si="47"/>
        <v>0</v>
      </c>
      <c r="BK33" s="24"/>
      <c r="BL33" s="24">
        <f t="shared" si="47"/>
        <v>0</v>
      </c>
      <c r="BM33" s="24">
        <f t="shared" si="47"/>
        <v>0</v>
      </c>
      <c r="BN33" s="24"/>
      <c r="BO33" s="24"/>
      <c r="BP33" s="24"/>
      <c r="BQ33" s="24">
        <f t="shared" si="48"/>
        <v>3155760</v>
      </c>
      <c r="BR33" s="25">
        <f t="shared" si="10"/>
        <v>0.68442400000000003</v>
      </c>
      <c r="BS33" s="24">
        <f t="shared" si="39"/>
        <v>6844240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+'[2]DICIEMBRE 2016'!$H$1974</f>
        <v>6844240</v>
      </c>
      <c r="CN33" s="25">
        <f t="shared" si="12"/>
        <v>0.31557599999999997</v>
      </c>
      <c r="CO33" s="24">
        <f t="shared" si="40"/>
        <v>3155760</v>
      </c>
      <c r="CP33" s="24">
        <f t="shared" si="49"/>
        <v>0</v>
      </c>
      <c r="CQ33" s="24">
        <f t="shared" si="41"/>
        <v>0</v>
      </c>
      <c r="CR33" s="24">
        <f t="shared" si="41"/>
        <v>0</v>
      </c>
      <c r="CS33" s="24">
        <f t="shared" si="41"/>
        <v>0</v>
      </c>
      <c r="CT33" s="24">
        <f t="shared" si="41"/>
        <v>0</v>
      </c>
      <c r="CU33" s="24">
        <f t="shared" si="41"/>
        <v>0</v>
      </c>
      <c r="CV33" s="24">
        <f t="shared" si="50"/>
        <v>0</v>
      </c>
      <c r="CW33" s="24">
        <f t="shared" si="50"/>
        <v>0</v>
      </c>
      <c r="CX33" s="24">
        <f t="shared" si="50"/>
        <v>0</v>
      </c>
      <c r="CY33" s="24">
        <f t="shared" si="51"/>
        <v>0</v>
      </c>
      <c r="CZ33" s="24">
        <f t="shared" si="51"/>
        <v>0</v>
      </c>
      <c r="DA33" s="24">
        <f t="shared" si="51"/>
        <v>0</v>
      </c>
      <c r="DB33" s="24">
        <f t="shared" si="51"/>
        <v>0</v>
      </c>
      <c r="DC33" s="24">
        <f t="shared" si="51"/>
        <v>0</v>
      </c>
      <c r="DD33" s="24">
        <f t="shared" si="51"/>
        <v>0</v>
      </c>
      <c r="DE33" s="24"/>
      <c r="DF33" s="24">
        <f t="shared" si="54"/>
        <v>0</v>
      </c>
      <c r="DG33" s="24">
        <f t="shared" si="54"/>
        <v>0</v>
      </c>
      <c r="DH33" s="24">
        <f t="shared" si="54"/>
        <v>3155760</v>
      </c>
      <c r="DJ33" s="29">
        <f t="shared" si="19"/>
        <v>10000000</v>
      </c>
      <c r="DK33" s="29">
        <f t="shared" si="20"/>
        <v>10000000</v>
      </c>
      <c r="DL33" s="29">
        <f t="shared" si="21"/>
        <v>10000000</v>
      </c>
    </row>
    <row r="34" spans="1:117" ht="39.75" customHeight="1" x14ac:dyDescent="0.25">
      <c r="A34" s="30"/>
      <c r="B34" s="241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4"/>
        <v>211970259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11169156+40126227+17787916+32886960</f>
        <v>101970259</v>
      </c>
      <c r="X34" s="24"/>
      <c r="Y34" s="24"/>
      <c r="Z34" s="24"/>
      <c r="AA34" s="25">
        <f t="shared" si="1"/>
        <v>0.88689944941757137</v>
      </c>
      <c r="AB34" s="24">
        <f t="shared" si="35"/>
        <v>187996306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+'[2]DICIEMBRE 2016'!$Y$1989</f>
        <v>102694205</v>
      </c>
      <c r="AR34" s="24"/>
      <c r="AS34" s="24">
        <f>+'[4]DICIEMBRE 2016'!$AA$1986</f>
        <v>85302101</v>
      </c>
      <c r="AT34" s="24"/>
      <c r="AU34" s="24"/>
      <c r="AV34" s="24"/>
      <c r="AW34" s="25">
        <f t="shared" si="3"/>
        <v>0.11310055058242863</v>
      </c>
      <c r="AX34" s="24">
        <f t="shared" si="36"/>
        <v>23973953</v>
      </c>
      <c r="AY34" s="24">
        <f t="shared" si="46"/>
        <v>0</v>
      </c>
      <c r="AZ34" s="24">
        <f t="shared" si="37"/>
        <v>0</v>
      </c>
      <c r="BA34" s="24">
        <f t="shared" si="37"/>
        <v>0</v>
      </c>
      <c r="BB34" s="24">
        <f t="shared" si="47"/>
        <v>0</v>
      </c>
      <c r="BC34" s="24">
        <f t="shared" si="47"/>
        <v>0</v>
      </c>
      <c r="BD34" s="24">
        <f t="shared" si="47"/>
        <v>0</v>
      </c>
      <c r="BE34" s="24">
        <f t="shared" si="47"/>
        <v>0</v>
      </c>
      <c r="BF34" s="24">
        <f t="shared" si="47"/>
        <v>0</v>
      </c>
      <c r="BG34" s="24">
        <f t="shared" si="47"/>
        <v>0</v>
      </c>
      <c r="BH34" s="24">
        <f t="shared" si="47"/>
        <v>0</v>
      </c>
      <c r="BI34" s="24">
        <f t="shared" si="47"/>
        <v>0</v>
      </c>
      <c r="BJ34" s="24">
        <f t="shared" si="47"/>
        <v>0</v>
      </c>
      <c r="BK34" s="24"/>
      <c r="BL34" s="24">
        <f t="shared" si="47"/>
        <v>7305795</v>
      </c>
      <c r="BM34" s="24">
        <f t="shared" si="47"/>
        <v>0</v>
      </c>
      <c r="BN34" s="24">
        <f>+W34-AS34</f>
        <v>16668158</v>
      </c>
      <c r="BO34" s="24"/>
      <c r="BP34" s="24"/>
      <c r="BQ34" s="24">
        <f t="shared" si="48"/>
        <v>0</v>
      </c>
      <c r="BR34" s="25">
        <f t="shared" si="10"/>
        <v>0.88689944941757137</v>
      </c>
      <c r="BS34" s="24">
        <f t="shared" si="39"/>
        <v>187996306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+'[2]DICIEMBRE 2016'!$H$1990+'[2]DICIEMBRE 2016'!$H$2007+'[2]DICIEMBRE 2016'!$H$2021</f>
        <v>102694205</v>
      </c>
      <c r="CI34" s="24"/>
      <c r="CJ34" s="24">
        <f>+'[2]DICIEMBRE 2016'!$H$2026+'[2]DICIEMBRE 2016'!$H$2032+'[2]DICIEMBRE 2016'!$H$2041+'[2]DICIEMBRE 2016'!$H$2046</f>
        <v>85302101</v>
      </c>
      <c r="CK34" s="24"/>
      <c r="CL34" s="24"/>
      <c r="CM34" s="24"/>
      <c r="CN34" s="25">
        <f t="shared" si="12"/>
        <v>0.11310055058242863</v>
      </c>
      <c r="CO34" s="24">
        <f t="shared" si="40"/>
        <v>23973953</v>
      </c>
      <c r="CP34" s="24">
        <f t="shared" si="49"/>
        <v>0</v>
      </c>
      <c r="CQ34" s="24">
        <f t="shared" si="41"/>
        <v>0</v>
      </c>
      <c r="CR34" s="24">
        <f t="shared" si="41"/>
        <v>0</v>
      </c>
      <c r="CS34" s="24">
        <f t="shared" si="41"/>
        <v>0</v>
      </c>
      <c r="CT34" s="24">
        <f t="shared" si="41"/>
        <v>0</v>
      </c>
      <c r="CU34" s="24">
        <f t="shared" si="41"/>
        <v>0</v>
      </c>
      <c r="CV34" s="24">
        <f t="shared" si="50"/>
        <v>0</v>
      </c>
      <c r="CW34" s="24">
        <f t="shared" si="50"/>
        <v>0</v>
      </c>
      <c r="CX34" s="24">
        <f t="shared" si="50"/>
        <v>0</v>
      </c>
      <c r="CY34" s="24">
        <f t="shared" si="51"/>
        <v>0</v>
      </c>
      <c r="CZ34" s="24">
        <f t="shared" si="51"/>
        <v>0</v>
      </c>
      <c r="DA34" s="24">
        <f t="shared" si="51"/>
        <v>0</v>
      </c>
      <c r="DB34" s="24">
        <f t="shared" si="51"/>
        <v>0</v>
      </c>
      <c r="DC34" s="24">
        <f t="shared" si="51"/>
        <v>7305795</v>
      </c>
      <c r="DD34" s="24">
        <f t="shared" si="51"/>
        <v>0</v>
      </c>
      <c r="DE34" s="24">
        <f>W34-CJ34</f>
        <v>16668158</v>
      </c>
      <c r="DF34" s="24">
        <f t="shared" si="54"/>
        <v>0</v>
      </c>
      <c r="DG34" s="24">
        <f t="shared" si="54"/>
        <v>0</v>
      </c>
      <c r="DH34" s="24">
        <f t="shared" si="54"/>
        <v>0</v>
      </c>
      <c r="DJ34" s="51">
        <f t="shared" si="19"/>
        <v>211970259</v>
      </c>
      <c r="DK34" s="29">
        <f t="shared" si="20"/>
        <v>211970259</v>
      </c>
      <c r="DL34" s="29">
        <f t="shared" si="21"/>
        <v>211970259</v>
      </c>
      <c r="DM34" s="52"/>
    </row>
    <row r="35" spans="1:117" ht="30" x14ac:dyDescent="0.25">
      <c r="A35" s="246" t="s">
        <v>87</v>
      </c>
      <c r="B35" s="239" t="s">
        <v>123</v>
      </c>
      <c r="C35" s="20" t="s">
        <v>124</v>
      </c>
      <c r="D35" s="21" t="s">
        <v>125</v>
      </c>
      <c r="E35" s="31">
        <v>410</v>
      </c>
      <c r="F35" s="23" t="s">
        <v>91</v>
      </c>
      <c r="G35" s="24">
        <f t="shared" si="34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0.95990130909090909</v>
      </c>
      <c r="AB35" s="24">
        <f t="shared" si="35"/>
        <v>52794572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+'[4]DICIEMBRE 2016'!$Y$2051</f>
        <v>52794572</v>
      </c>
      <c r="AR35" s="24"/>
      <c r="AS35" s="24"/>
      <c r="AT35" s="24"/>
      <c r="AU35" s="24"/>
      <c r="AV35" s="24"/>
      <c r="AW35" s="25">
        <f t="shared" si="3"/>
        <v>4.0098690909090906E-2</v>
      </c>
      <c r="AX35" s="24">
        <f t="shared" si="36"/>
        <v>2205428</v>
      </c>
      <c r="AY35" s="24">
        <f t="shared" si="46"/>
        <v>0</v>
      </c>
      <c r="AZ35" s="24">
        <f t="shared" si="37"/>
        <v>0</v>
      </c>
      <c r="BA35" s="24">
        <f t="shared" si="37"/>
        <v>0</v>
      </c>
      <c r="BB35" s="24">
        <f t="shared" si="47"/>
        <v>0</v>
      </c>
      <c r="BC35" s="24">
        <f t="shared" si="47"/>
        <v>0</v>
      </c>
      <c r="BD35" s="24">
        <f t="shared" si="47"/>
        <v>0</v>
      </c>
      <c r="BE35" s="24">
        <f t="shared" si="47"/>
        <v>0</v>
      </c>
      <c r="BF35" s="24">
        <f t="shared" si="47"/>
        <v>0</v>
      </c>
      <c r="BG35" s="24">
        <f t="shared" si="47"/>
        <v>0</v>
      </c>
      <c r="BH35" s="24">
        <f t="shared" si="47"/>
        <v>0</v>
      </c>
      <c r="BI35" s="24">
        <f t="shared" si="47"/>
        <v>0</v>
      </c>
      <c r="BJ35" s="24">
        <f t="shared" si="47"/>
        <v>0</v>
      </c>
      <c r="BK35" s="24">
        <f>+T35-AP35</f>
        <v>0</v>
      </c>
      <c r="BL35" s="24">
        <f t="shared" si="47"/>
        <v>2205428</v>
      </c>
      <c r="BM35" s="24">
        <f t="shared" si="47"/>
        <v>0</v>
      </c>
      <c r="BN35" s="24"/>
      <c r="BO35" s="24"/>
      <c r="BP35" s="24"/>
      <c r="BQ35" s="24">
        <f t="shared" si="48"/>
        <v>0</v>
      </c>
      <c r="BR35" s="25">
        <f t="shared" si="10"/>
        <v>0.95990130909090909</v>
      </c>
      <c r="BS35" s="24">
        <f t="shared" si="39"/>
        <v>52794572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+'[4]DICIEMBRE 2016'!$Y$2051</f>
        <v>52794572</v>
      </c>
      <c r="CI35" s="24"/>
      <c r="CJ35" s="24"/>
      <c r="CK35" s="24"/>
      <c r="CL35" s="24"/>
      <c r="CM35" s="24"/>
      <c r="CN35" s="25">
        <f t="shared" si="12"/>
        <v>4.0098690909090906E-2</v>
      </c>
      <c r="CO35" s="24">
        <f t="shared" si="40"/>
        <v>2205428</v>
      </c>
      <c r="CP35" s="24">
        <f t="shared" si="49"/>
        <v>0</v>
      </c>
      <c r="CQ35" s="24">
        <f t="shared" si="41"/>
        <v>0</v>
      </c>
      <c r="CR35" s="24">
        <f t="shared" si="41"/>
        <v>0</v>
      </c>
      <c r="CS35" s="24">
        <f t="shared" si="41"/>
        <v>0</v>
      </c>
      <c r="CT35" s="24">
        <f t="shared" si="41"/>
        <v>0</v>
      </c>
      <c r="CU35" s="24">
        <f t="shared" si="41"/>
        <v>0</v>
      </c>
      <c r="CV35" s="24">
        <f t="shared" si="50"/>
        <v>0</v>
      </c>
      <c r="CW35" s="24">
        <f t="shared" si="50"/>
        <v>0</v>
      </c>
      <c r="CX35" s="24">
        <f t="shared" si="50"/>
        <v>0</v>
      </c>
      <c r="CY35" s="24">
        <f t="shared" si="51"/>
        <v>0</v>
      </c>
      <c r="CZ35" s="24">
        <f t="shared" si="51"/>
        <v>0</v>
      </c>
      <c r="DA35" s="24">
        <f t="shared" si="51"/>
        <v>0</v>
      </c>
      <c r="DB35" s="24">
        <f t="shared" ref="DB35:DD37" si="55">+T35-CG35</f>
        <v>0</v>
      </c>
      <c r="DC35" s="24">
        <f t="shared" si="55"/>
        <v>2205428</v>
      </c>
      <c r="DD35" s="24">
        <f t="shared" si="55"/>
        <v>0</v>
      </c>
      <c r="DE35" s="24"/>
      <c r="DF35" s="24">
        <f>+X35-CK35</f>
        <v>0</v>
      </c>
      <c r="DG35" s="24">
        <f t="shared" si="54"/>
        <v>0</v>
      </c>
      <c r="DH35" s="24">
        <f>+Z35-CM35</f>
        <v>0</v>
      </c>
      <c r="DJ35" s="29">
        <f t="shared" si="19"/>
        <v>55000000</v>
      </c>
      <c r="DK35" s="29">
        <f t="shared" si="20"/>
        <v>55000000</v>
      </c>
      <c r="DL35" s="29">
        <f t="shared" si="21"/>
        <v>55000000</v>
      </c>
    </row>
    <row r="36" spans="1:117" ht="31.5" customHeight="1" x14ac:dyDescent="0.25">
      <c r="A36" s="246"/>
      <c r="B36" s="240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4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0.9867871509433962</v>
      </c>
      <c r="AB36" s="24">
        <f t="shared" si="35"/>
        <v>52299719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+'[4]DICIEMBRE 2016'!$Y$2119</f>
        <v>49999719</v>
      </c>
      <c r="AR36" s="24"/>
      <c r="AS36" s="24"/>
      <c r="AT36" s="24"/>
      <c r="AU36" s="24"/>
      <c r="AV36" s="24">
        <f>+'[2]DICIEMBRE 2016'!$AG$2122</f>
        <v>2300000</v>
      </c>
      <c r="AW36" s="25">
        <f t="shared" si="3"/>
        <v>1.3212849056603804E-2</v>
      </c>
      <c r="AX36" s="24">
        <f t="shared" si="36"/>
        <v>700281</v>
      </c>
      <c r="AY36" s="24">
        <f t="shared" si="46"/>
        <v>0</v>
      </c>
      <c r="AZ36" s="24">
        <f t="shared" si="37"/>
        <v>0</v>
      </c>
      <c r="BA36" s="24">
        <f t="shared" si="37"/>
        <v>0</v>
      </c>
      <c r="BB36" s="24">
        <f t="shared" si="47"/>
        <v>0</v>
      </c>
      <c r="BC36" s="24">
        <f t="shared" si="47"/>
        <v>0</v>
      </c>
      <c r="BD36" s="24">
        <f t="shared" si="47"/>
        <v>0</v>
      </c>
      <c r="BE36" s="24">
        <f t="shared" si="47"/>
        <v>0</v>
      </c>
      <c r="BF36" s="24">
        <f t="shared" si="47"/>
        <v>0</v>
      </c>
      <c r="BG36" s="24">
        <f t="shared" si="47"/>
        <v>0</v>
      </c>
      <c r="BH36" s="24">
        <f t="shared" si="47"/>
        <v>0</v>
      </c>
      <c r="BI36" s="24">
        <f t="shared" si="47"/>
        <v>0</v>
      </c>
      <c r="BJ36" s="24">
        <f t="shared" si="47"/>
        <v>0</v>
      </c>
      <c r="BK36" s="24">
        <f>+T36-AP36</f>
        <v>0</v>
      </c>
      <c r="BL36" s="24">
        <f t="shared" si="47"/>
        <v>281</v>
      </c>
      <c r="BM36" s="24">
        <f t="shared" si="47"/>
        <v>0</v>
      </c>
      <c r="BN36" s="24"/>
      <c r="BO36" s="24"/>
      <c r="BP36" s="24"/>
      <c r="BQ36" s="24">
        <f t="shared" si="48"/>
        <v>700000</v>
      </c>
      <c r="BR36" s="25">
        <f t="shared" si="10"/>
        <v>0.9867871509433962</v>
      </c>
      <c r="BS36" s="24">
        <f t="shared" si="39"/>
        <v>52299719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+'[4]DICIEMBRE 2016'!$Y$2119</f>
        <v>49999719</v>
      </c>
      <c r="CI36" s="24"/>
      <c r="CJ36" s="24"/>
      <c r="CK36" s="24"/>
      <c r="CL36" s="24"/>
      <c r="CM36" s="24">
        <f>+'[2]DICIEMBRE 2016'!$AG$2122</f>
        <v>2300000</v>
      </c>
      <c r="CN36" s="25">
        <f t="shared" si="12"/>
        <v>1.3212849056603804E-2</v>
      </c>
      <c r="CO36" s="24">
        <f t="shared" si="40"/>
        <v>700281</v>
      </c>
      <c r="CP36" s="24">
        <f t="shared" si="49"/>
        <v>0</v>
      </c>
      <c r="CQ36" s="24">
        <f t="shared" si="41"/>
        <v>0</v>
      </c>
      <c r="CR36" s="24">
        <f t="shared" si="41"/>
        <v>0</v>
      </c>
      <c r="CS36" s="24">
        <f t="shared" si="41"/>
        <v>0</v>
      </c>
      <c r="CT36" s="24">
        <f t="shared" si="41"/>
        <v>0</v>
      </c>
      <c r="CU36" s="24">
        <f t="shared" si="41"/>
        <v>0</v>
      </c>
      <c r="CV36" s="24">
        <f t="shared" si="50"/>
        <v>0</v>
      </c>
      <c r="CW36" s="24">
        <f t="shared" si="50"/>
        <v>0</v>
      </c>
      <c r="CX36" s="24">
        <f t="shared" si="50"/>
        <v>0</v>
      </c>
      <c r="CY36" s="24">
        <f t="shared" si="51"/>
        <v>0</v>
      </c>
      <c r="CZ36" s="24">
        <f t="shared" si="51"/>
        <v>0</v>
      </c>
      <c r="DA36" s="24">
        <f t="shared" si="51"/>
        <v>0</v>
      </c>
      <c r="DB36" s="24">
        <f t="shared" si="55"/>
        <v>0</v>
      </c>
      <c r="DC36" s="24">
        <f t="shared" si="55"/>
        <v>281</v>
      </c>
      <c r="DD36" s="24">
        <f t="shared" si="55"/>
        <v>0</v>
      </c>
      <c r="DE36" s="24"/>
      <c r="DF36" s="24">
        <f>+X36-CK36</f>
        <v>0</v>
      </c>
      <c r="DG36" s="24">
        <f t="shared" si="54"/>
        <v>0</v>
      </c>
      <c r="DH36" s="24">
        <f>+Z36-CM36</f>
        <v>700000</v>
      </c>
      <c r="DJ36" s="29">
        <f t="shared" si="19"/>
        <v>53000000</v>
      </c>
      <c r="DK36" s="29">
        <f t="shared" si="20"/>
        <v>53000000</v>
      </c>
      <c r="DL36" s="29">
        <f t="shared" si="21"/>
        <v>53000000</v>
      </c>
    </row>
    <row r="37" spans="1:117" ht="18" customHeight="1" x14ac:dyDescent="0.25">
      <c r="A37" s="246"/>
      <c r="B37" s="240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4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0.8322222222222222</v>
      </c>
      <c r="AB37" s="24">
        <f t="shared" si="35"/>
        <v>28956340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+'[2]DICIEMBRE 2016'!$Y$2200</f>
        <v>28956340</v>
      </c>
      <c r="AR37" s="24"/>
      <c r="AS37" s="24"/>
      <c r="AT37" s="24"/>
      <c r="AU37" s="24"/>
      <c r="AV37" s="24"/>
      <c r="AW37" s="25">
        <f t="shared" si="3"/>
        <v>0.1677777777777778</v>
      </c>
      <c r="AX37" s="24">
        <f t="shared" si="36"/>
        <v>5837660</v>
      </c>
      <c r="AY37" s="24">
        <f t="shared" si="46"/>
        <v>0</v>
      </c>
      <c r="AZ37" s="24">
        <f t="shared" si="46"/>
        <v>0</v>
      </c>
      <c r="BA37" s="24">
        <f t="shared" si="46"/>
        <v>0</v>
      </c>
      <c r="BB37" s="24">
        <f t="shared" si="47"/>
        <v>0</v>
      </c>
      <c r="BC37" s="24">
        <f t="shared" si="47"/>
        <v>0</v>
      </c>
      <c r="BD37" s="24">
        <f t="shared" si="47"/>
        <v>0</v>
      </c>
      <c r="BE37" s="24">
        <f t="shared" si="47"/>
        <v>0</v>
      </c>
      <c r="BF37" s="24">
        <f t="shared" si="47"/>
        <v>0</v>
      </c>
      <c r="BG37" s="24">
        <f t="shared" si="47"/>
        <v>0</v>
      </c>
      <c r="BH37" s="24">
        <f t="shared" si="47"/>
        <v>0</v>
      </c>
      <c r="BI37" s="24">
        <f t="shared" si="47"/>
        <v>0</v>
      </c>
      <c r="BJ37" s="24">
        <f t="shared" si="47"/>
        <v>0</v>
      </c>
      <c r="BK37" s="24">
        <f>+T37-AP37</f>
        <v>0</v>
      </c>
      <c r="BL37" s="24">
        <f t="shared" si="47"/>
        <v>5837660</v>
      </c>
      <c r="BM37" s="24">
        <f t="shared" si="47"/>
        <v>0</v>
      </c>
      <c r="BN37" s="24"/>
      <c r="BO37" s="24"/>
      <c r="BP37" s="24"/>
      <c r="BQ37" s="24">
        <f t="shared" si="48"/>
        <v>0</v>
      </c>
      <c r="BR37" s="25">
        <f t="shared" si="10"/>
        <v>0.8322222222222222</v>
      </c>
      <c r="BS37" s="24">
        <f t="shared" si="39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+'[10]SEPTIEMBRE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40"/>
        <v>5837660</v>
      </c>
      <c r="CP37" s="24">
        <f t="shared" si="49"/>
        <v>0</v>
      </c>
      <c r="CQ37" s="24">
        <f t="shared" si="49"/>
        <v>0</v>
      </c>
      <c r="CR37" s="24">
        <f t="shared" si="49"/>
        <v>0</v>
      </c>
      <c r="CS37" s="24">
        <f t="shared" si="49"/>
        <v>0</v>
      </c>
      <c r="CT37" s="24">
        <f t="shared" si="49"/>
        <v>0</v>
      </c>
      <c r="CU37" s="24">
        <f t="shared" si="49"/>
        <v>0</v>
      </c>
      <c r="CV37" s="24">
        <f t="shared" si="50"/>
        <v>0</v>
      </c>
      <c r="CW37" s="24">
        <f t="shared" si="50"/>
        <v>0</v>
      </c>
      <c r="CX37" s="24">
        <f t="shared" si="50"/>
        <v>0</v>
      </c>
      <c r="CY37" s="24">
        <f t="shared" si="51"/>
        <v>0</v>
      </c>
      <c r="CZ37" s="24">
        <f t="shared" si="51"/>
        <v>0</v>
      </c>
      <c r="DA37" s="24">
        <f t="shared" si="51"/>
        <v>0</v>
      </c>
      <c r="DB37" s="24">
        <f t="shared" si="55"/>
        <v>0</v>
      </c>
      <c r="DC37" s="24">
        <f t="shared" si="55"/>
        <v>5837660</v>
      </c>
      <c r="DD37" s="24">
        <f t="shared" si="55"/>
        <v>0</v>
      </c>
      <c r="DE37" s="24"/>
      <c r="DF37" s="24">
        <f>+X37-CK37</f>
        <v>0</v>
      </c>
      <c r="DG37" s="24">
        <f t="shared" si="54"/>
        <v>0</v>
      </c>
      <c r="DH37" s="24">
        <f>+Z37-CM37</f>
        <v>0</v>
      </c>
      <c r="DJ37" s="29">
        <f t="shared" si="19"/>
        <v>34794000</v>
      </c>
      <c r="DK37" s="29">
        <f t="shared" si="20"/>
        <v>34794000</v>
      </c>
      <c r="DL37" s="29">
        <f t="shared" si="21"/>
        <v>34794000</v>
      </c>
    </row>
    <row r="38" spans="1:117" x14ac:dyDescent="0.25">
      <c r="A38" s="246"/>
      <c r="B38" s="241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4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5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+'[11]JUNIO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6"/>
        <v>0</v>
      </c>
      <c r="AY38" s="24">
        <f t="shared" si="46"/>
        <v>0</v>
      </c>
      <c r="AZ38" s="24">
        <f t="shared" si="46"/>
        <v>0</v>
      </c>
      <c r="BA38" s="24">
        <f t="shared" si="46"/>
        <v>0</v>
      </c>
      <c r="BB38" s="24">
        <f t="shared" si="46"/>
        <v>0</v>
      </c>
      <c r="BC38" s="24">
        <f t="shared" si="46"/>
        <v>0</v>
      </c>
      <c r="BD38" s="24">
        <f t="shared" si="46"/>
        <v>0</v>
      </c>
      <c r="BE38" s="24">
        <f t="shared" si="46"/>
        <v>0</v>
      </c>
      <c r="BF38" s="24">
        <f t="shared" si="46"/>
        <v>0</v>
      </c>
      <c r="BG38" s="24">
        <f t="shared" si="46"/>
        <v>0</v>
      </c>
      <c r="BH38" s="24">
        <f t="shared" si="46"/>
        <v>0</v>
      </c>
      <c r="BI38" s="24">
        <f t="shared" si="46"/>
        <v>0</v>
      </c>
      <c r="BJ38" s="24">
        <f t="shared" si="46"/>
        <v>0</v>
      </c>
      <c r="BK38" s="24">
        <f t="shared" si="46"/>
        <v>0</v>
      </c>
      <c r="BL38" s="24">
        <f t="shared" si="46"/>
        <v>0</v>
      </c>
      <c r="BM38" s="24">
        <f t="shared" si="46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9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+'[11]JUNIO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40"/>
        <v>0</v>
      </c>
      <c r="CP38" s="24">
        <f t="shared" si="49"/>
        <v>0</v>
      </c>
      <c r="CQ38" s="24">
        <f t="shared" si="49"/>
        <v>0</v>
      </c>
      <c r="CR38" s="24">
        <f t="shared" si="49"/>
        <v>0</v>
      </c>
      <c r="CS38" s="24">
        <f t="shared" si="49"/>
        <v>0</v>
      </c>
      <c r="CT38" s="24">
        <f t="shared" si="49"/>
        <v>0</v>
      </c>
      <c r="CU38" s="24">
        <f t="shared" si="49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51"/>
        <v>0</v>
      </c>
      <c r="CZ38" s="24">
        <f t="shared" si="51"/>
        <v>0</v>
      </c>
      <c r="DA38" s="24">
        <f t="shared" si="51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4"/>
        <v>0</v>
      </c>
      <c r="DH38" s="24">
        <f>Z38-CM38</f>
        <v>0</v>
      </c>
      <c r="DJ38" s="29">
        <f t="shared" si="19"/>
        <v>105000000</v>
      </c>
      <c r="DK38" s="29">
        <f t="shared" si="20"/>
        <v>105000000</v>
      </c>
      <c r="DL38" s="29">
        <f t="shared" si="21"/>
        <v>105000000</v>
      </c>
    </row>
    <row r="39" spans="1:117" ht="33.75" customHeight="1" x14ac:dyDescent="0.25">
      <c r="A39" s="246"/>
      <c r="B39" s="239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4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0.99391327857142853</v>
      </c>
      <c r="AB39" s="24">
        <f t="shared" si="35"/>
        <v>278295718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+'[4]DICIEMBRE 2016'!$W$2234</f>
        <v>278295718</v>
      </c>
      <c r="AP39" s="24"/>
      <c r="AQ39" s="24"/>
      <c r="AR39" s="24"/>
      <c r="AS39" s="24"/>
      <c r="AT39" s="24"/>
      <c r="AU39" s="24"/>
      <c r="AV39" s="24"/>
      <c r="AW39" s="25">
        <f t="shared" si="3"/>
        <v>6.0867214285714732E-3</v>
      </c>
      <c r="AX39" s="24">
        <f t="shared" si="36"/>
        <v>1704282</v>
      </c>
      <c r="AY39" s="24">
        <f t="shared" si="46"/>
        <v>0</v>
      </c>
      <c r="AZ39" s="24">
        <f t="shared" si="46"/>
        <v>0</v>
      </c>
      <c r="BA39" s="24">
        <f t="shared" si="46"/>
        <v>0</v>
      </c>
      <c r="BB39" s="24">
        <f t="shared" ref="BB39:BM54" si="56">+K39-AG39</f>
        <v>0</v>
      </c>
      <c r="BC39" s="24">
        <f t="shared" si="56"/>
        <v>0</v>
      </c>
      <c r="BD39" s="24">
        <f t="shared" si="56"/>
        <v>0</v>
      </c>
      <c r="BE39" s="24">
        <f t="shared" si="56"/>
        <v>0</v>
      </c>
      <c r="BF39" s="24">
        <f t="shared" si="56"/>
        <v>0</v>
      </c>
      <c r="BG39" s="24">
        <f t="shared" si="56"/>
        <v>0</v>
      </c>
      <c r="BH39" s="24">
        <f t="shared" si="56"/>
        <v>0</v>
      </c>
      <c r="BI39" s="24">
        <f t="shared" si="56"/>
        <v>0</v>
      </c>
      <c r="BJ39" s="24">
        <f t="shared" si="56"/>
        <v>1704282</v>
      </c>
      <c r="BK39" s="24">
        <f t="shared" si="56"/>
        <v>0</v>
      </c>
      <c r="BL39" s="24">
        <f t="shared" si="56"/>
        <v>0</v>
      </c>
      <c r="BM39" s="24">
        <f t="shared" si="56"/>
        <v>0</v>
      </c>
      <c r="BN39" s="24"/>
      <c r="BO39" s="24"/>
      <c r="BP39" s="24">
        <f t="shared" ref="BP39:BP59" si="57">Y39-AU39</f>
        <v>0</v>
      </c>
      <c r="BQ39" s="24">
        <f t="shared" ref="BQ39:BQ59" si="58">+Z39-AV39</f>
        <v>0</v>
      </c>
      <c r="BR39" s="25">
        <f t="shared" si="10"/>
        <v>0.99391327857142853</v>
      </c>
      <c r="BS39" s="24">
        <f t="shared" si="39"/>
        <v>278295718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+'[4]DICIEMBRE 2016'!$W$2234</f>
        <v>278295718</v>
      </c>
      <c r="CG39" s="24"/>
      <c r="CH39" s="24"/>
      <c r="CI39" s="24"/>
      <c r="CJ39" s="24"/>
      <c r="CK39" s="24"/>
      <c r="CL39" s="24"/>
      <c r="CM39" s="24"/>
      <c r="CN39" s="25">
        <f t="shared" si="12"/>
        <v>6.0867214285714732E-3</v>
      </c>
      <c r="CO39" s="24">
        <f t="shared" si="40"/>
        <v>1704282</v>
      </c>
      <c r="CP39" s="24">
        <f t="shared" si="49"/>
        <v>0</v>
      </c>
      <c r="CQ39" s="24">
        <f t="shared" si="49"/>
        <v>0</v>
      </c>
      <c r="CR39" s="24">
        <f t="shared" si="49"/>
        <v>0</v>
      </c>
      <c r="CS39" s="24">
        <f t="shared" si="49"/>
        <v>0</v>
      </c>
      <c r="CT39" s="24">
        <f t="shared" si="49"/>
        <v>0</v>
      </c>
      <c r="CU39" s="24">
        <f t="shared" si="49"/>
        <v>0</v>
      </c>
      <c r="CV39" s="24">
        <f t="shared" ref="CV39:DA50" si="59">+N39-CA39</f>
        <v>0</v>
      </c>
      <c r="CW39" s="24">
        <f t="shared" si="59"/>
        <v>0</v>
      </c>
      <c r="CX39" s="24">
        <f t="shared" si="59"/>
        <v>0</v>
      </c>
      <c r="CY39" s="24">
        <f t="shared" si="51"/>
        <v>0</v>
      </c>
      <c r="CZ39" s="24">
        <f t="shared" si="51"/>
        <v>0</v>
      </c>
      <c r="DA39" s="24">
        <f t="shared" si="51"/>
        <v>1704282</v>
      </c>
      <c r="DB39" s="24">
        <f t="shared" ref="DB39:DD50" si="60">+T39-CG39</f>
        <v>0</v>
      </c>
      <c r="DC39" s="24">
        <f t="shared" si="60"/>
        <v>0</v>
      </c>
      <c r="DD39" s="24">
        <f t="shared" si="60"/>
        <v>0</v>
      </c>
      <c r="DE39" s="24"/>
      <c r="DF39" s="24">
        <f t="shared" ref="DF39:DF50" si="61">+X39-CK39</f>
        <v>0</v>
      </c>
      <c r="DG39" s="24">
        <f t="shared" si="54"/>
        <v>0</v>
      </c>
      <c r="DH39" s="24">
        <f t="shared" ref="DH39:DH50" si="62">+Z39-CM39</f>
        <v>0</v>
      </c>
      <c r="DJ39" s="29">
        <f t="shared" si="19"/>
        <v>280000000</v>
      </c>
      <c r="DK39" s="29">
        <f t="shared" si="20"/>
        <v>280000000</v>
      </c>
      <c r="DL39" s="29">
        <f t="shared" si="21"/>
        <v>280000000</v>
      </c>
    </row>
    <row r="40" spans="1:117" ht="42" customHeight="1" x14ac:dyDescent="0.25">
      <c r="A40" s="246"/>
      <c r="B40" s="240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4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0.88728569207025232</v>
      </c>
      <c r="AB40" s="24">
        <f t="shared" si="35"/>
        <v>158493357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+'[11]JUNIO 2016'!$W$1028</f>
        <v>7654735</v>
      </c>
      <c r="AP40" s="24"/>
      <c r="AQ40" s="24">
        <f>+'[4]DICIEMBRE 2016'!$Y$2387</f>
        <v>128485707</v>
      </c>
      <c r="AR40" s="24"/>
      <c r="AS40" s="24"/>
      <c r="AT40" s="24"/>
      <c r="AU40" s="24"/>
      <c r="AV40" s="24">
        <f>+'[4]DICIEMBRE 2016'!$AG$2387</f>
        <v>22352915</v>
      </c>
      <c r="AW40" s="25">
        <f t="shared" si="3"/>
        <v>0.11271430792974768</v>
      </c>
      <c r="AX40" s="24">
        <f t="shared" si="36"/>
        <v>20133841</v>
      </c>
      <c r="AY40" s="24">
        <f t="shared" si="46"/>
        <v>0</v>
      </c>
      <c r="AZ40" s="24">
        <f t="shared" si="46"/>
        <v>0</v>
      </c>
      <c r="BA40" s="24">
        <f t="shared" si="46"/>
        <v>0</v>
      </c>
      <c r="BB40" s="24">
        <f t="shared" si="56"/>
        <v>0</v>
      </c>
      <c r="BC40" s="24">
        <f t="shared" si="56"/>
        <v>0</v>
      </c>
      <c r="BD40" s="24">
        <f t="shared" si="56"/>
        <v>0</v>
      </c>
      <c r="BE40" s="24">
        <f t="shared" si="56"/>
        <v>0</v>
      </c>
      <c r="BF40" s="24">
        <f t="shared" si="56"/>
        <v>0</v>
      </c>
      <c r="BG40" s="24">
        <f t="shared" si="56"/>
        <v>0</v>
      </c>
      <c r="BH40" s="24">
        <f t="shared" si="56"/>
        <v>0</v>
      </c>
      <c r="BI40" s="24">
        <f t="shared" si="56"/>
        <v>0</v>
      </c>
      <c r="BJ40" s="24">
        <f t="shared" si="56"/>
        <v>42000</v>
      </c>
      <c r="BK40" s="24">
        <f t="shared" si="56"/>
        <v>0</v>
      </c>
      <c r="BL40" s="24">
        <f t="shared" si="56"/>
        <v>19444756</v>
      </c>
      <c r="BM40" s="24">
        <f t="shared" si="56"/>
        <v>0</v>
      </c>
      <c r="BN40" s="24"/>
      <c r="BO40" s="24"/>
      <c r="BP40" s="24">
        <f t="shared" si="57"/>
        <v>0</v>
      </c>
      <c r="BQ40" s="24">
        <f t="shared" si="58"/>
        <v>647085</v>
      </c>
      <c r="BR40" s="25">
        <f t="shared" si="10"/>
        <v>0.88728569207025232</v>
      </c>
      <c r="BS40" s="24">
        <f t="shared" si="39"/>
        <v>158493357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+'[2]DICIEMBRE 2016'!$H$2388+'[2]DICIEMBRE 2016'!$H$2391+'[2]DICIEMBRE 2016'!$H$2393+'[2]DICIEMBRE 2016'!$W$2395</f>
        <v>7654735</v>
      </c>
      <c r="CG40" s="24"/>
      <c r="CH40" s="24">
        <f>+'[4]DICIEMBRE 2016'!$Y$2387</f>
        <v>128485707</v>
      </c>
      <c r="CI40" s="24"/>
      <c r="CJ40" s="24"/>
      <c r="CK40" s="24"/>
      <c r="CL40" s="24"/>
      <c r="CM40" s="24">
        <f>+'[4]DICIEMBRE 2016'!$AG$2387</f>
        <v>22352915</v>
      </c>
      <c r="CN40" s="25">
        <f t="shared" si="12"/>
        <v>0.11271430792974768</v>
      </c>
      <c r="CO40" s="24">
        <f t="shared" si="40"/>
        <v>20133841</v>
      </c>
      <c r="CP40" s="24">
        <f t="shared" si="49"/>
        <v>0</v>
      </c>
      <c r="CQ40" s="24">
        <f t="shared" si="49"/>
        <v>0</v>
      </c>
      <c r="CR40" s="24">
        <f t="shared" si="49"/>
        <v>0</v>
      </c>
      <c r="CS40" s="24">
        <f t="shared" si="49"/>
        <v>0</v>
      </c>
      <c r="CT40" s="24">
        <f t="shared" si="49"/>
        <v>0</v>
      </c>
      <c r="CU40" s="24">
        <f t="shared" si="49"/>
        <v>0</v>
      </c>
      <c r="CV40" s="24">
        <f t="shared" si="59"/>
        <v>0</v>
      </c>
      <c r="CW40" s="24">
        <f t="shared" si="59"/>
        <v>0</v>
      </c>
      <c r="CX40" s="24">
        <f t="shared" si="59"/>
        <v>0</v>
      </c>
      <c r="CY40" s="24">
        <f t="shared" si="51"/>
        <v>0</v>
      </c>
      <c r="CZ40" s="24">
        <f t="shared" si="51"/>
        <v>0</v>
      </c>
      <c r="DA40" s="24">
        <f t="shared" si="51"/>
        <v>42000</v>
      </c>
      <c r="DB40" s="24">
        <f t="shared" si="60"/>
        <v>0</v>
      </c>
      <c r="DC40" s="24">
        <f t="shared" si="60"/>
        <v>19444756</v>
      </c>
      <c r="DD40" s="24">
        <f t="shared" si="60"/>
        <v>0</v>
      </c>
      <c r="DE40" s="24"/>
      <c r="DF40" s="24">
        <f t="shared" si="61"/>
        <v>0</v>
      </c>
      <c r="DG40" s="24">
        <f t="shared" si="54"/>
        <v>0</v>
      </c>
      <c r="DH40" s="24">
        <f t="shared" si="62"/>
        <v>647085</v>
      </c>
      <c r="DJ40" s="29">
        <f t="shared" si="19"/>
        <v>178627198</v>
      </c>
      <c r="DK40" s="29">
        <f t="shared" si="20"/>
        <v>178627198</v>
      </c>
      <c r="DL40" s="29">
        <f t="shared" si="21"/>
        <v>178627198</v>
      </c>
    </row>
    <row r="41" spans="1:117" ht="38.25" customHeight="1" x14ac:dyDescent="0.25">
      <c r="A41" s="246"/>
      <c r="B41" s="240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4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5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+'[3]ENERO 2016'!$W$352</f>
        <v>100000000</v>
      </c>
      <c r="AP41" s="24"/>
      <c r="AQ41" s="24"/>
      <c r="AR41" s="24"/>
      <c r="AS41" s="24"/>
      <c r="AT41" s="24"/>
      <c r="AU41" s="24">
        <f>+'[11]JUNIO 2016'!$AF$1063</f>
        <v>9580000</v>
      </c>
      <c r="AV41" s="24"/>
      <c r="AW41" s="25">
        <f t="shared" si="3"/>
        <v>0.45209999999999995</v>
      </c>
      <c r="AX41" s="24">
        <f t="shared" si="36"/>
        <v>90420000</v>
      </c>
      <c r="AY41" s="24">
        <f t="shared" si="46"/>
        <v>0</v>
      </c>
      <c r="AZ41" s="24">
        <f t="shared" si="46"/>
        <v>0</v>
      </c>
      <c r="BA41" s="24">
        <f t="shared" si="46"/>
        <v>0</v>
      </c>
      <c r="BB41" s="24">
        <f t="shared" si="56"/>
        <v>0</v>
      </c>
      <c r="BC41" s="24">
        <f t="shared" si="56"/>
        <v>0</v>
      </c>
      <c r="BD41" s="24">
        <f t="shared" si="56"/>
        <v>0</v>
      </c>
      <c r="BE41" s="24">
        <f t="shared" si="56"/>
        <v>0</v>
      </c>
      <c r="BF41" s="24">
        <f t="shared" si="56"/>
        <v>0</v>
      </c>
      <c r="BG41" s="24">
        <f t="shared" si="56"/>
        <v>0</v>
      </c>
      <c r="BH41" s="24">
        <f t="shared" si="56"/>
        <v>0</v>
      </c>
      <c r="BI41" s="24">
        <f t="shared" si="56"/>
        <v>0</v>
      </c>
      <c r="BJ41" s="24">
        <f t="shared" si="56"/>
        <v>0</v>
      </c>
      <c r="BK41" s="24">
        <f t="shared" si="56"/>
        <v>0</v>
      </c>
      <c r="BL41" s="24">
        <f t="shared" si="56"/>
        <v>0</v>
      </c>
      <c r="BM41" s="24">
        <f t="shared" si="56"/>
        <v>0</v>
      </c>
      <c r="BN41" s="24"/>
      <c r="BO41" s="24"/>
      <c r="BP41" s="24">
        <f t="shared" si="57"/>
        <v>90420000</v>
      </c>
      <c r="BQ41" s="24">
        <f t="shared" si="58"/>
        <v>0</v>
      </c>
      <c r="BR41" s="25">
        <f t="shared" si="10"/>
        <v>0.54790000000000005</v>
      </c>
      <c r="BS41" s="24">
        <f t="shared" si="39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+'[12]MARZO 2016 ULTIMO'!$H$622</f>
        <v>100000000</v>
      </c>
      <c r="CG41" s="24"/>
      <c r="CH41" s="24"/>
      <c r="CI41" s="24"/>
      <c r="CJ41" s="24"/>
      <c r="CK41" s="24"/>
      <c r="CL41" s="24">
        <f>+'[11]JUNIO 2016'!$AF$1063</f>
        <v>9580000</v>
      </c>
      <c r="CM41" s="24"/>
      <c r="CN41" s="25">
        <f t="shared" si="12"/>
        <v>0.45209999999999995</v>
      </c>
      <c r="CO41" s="24">
        <f t="shared" si="40"/>
        <v>90420000</v>
      </c>
      <c r="CP41" s="24">
        <f t="shared" si="49"/>
        <v>0</v>
      </c>
      <c r="CQ41" s="24">
        <f t="shared" si="49"/>
        <v>0</v>
      </c>
      <c r="CR41" s="24">
        <f t="shared" si="49"/>
        <v>0</v>
      </c>
      <c r="CS41" s="24">
        <f t="shared" si="49"/>
        <v>0</v>
      </c>
      <c r="CT41" s="24">
        <f t="shared" si="49"/>
        <v>0</v>
      </c>
      <c r="CU41" s="24">
        <f t="shared" si="49"/>
        <v>0</v>
      </c>
      <c r="CV41" s="24">
        <f t="shared" si="59"/>
        <v>0</v>
      </c>
      <c r="CW41" s="24">
        <f t="shared" si="59"/>
        <v>0</v>
      </c>
      <c r="CX41" s="24">
        <f t="shared" si="59"/>
        <v>0</v>
      </c>
      <c r="CY41" s="24">
        <f t="shared" si="51"/>
        <v>0</v>
      </c>
      <c r="CZ41" s="24">
        <f t="shared" si="51"/>
        <v>0</v>
      </c>
      <c r="DA41" s="24">
        <f t="shared" si="51"/>
        <v>0</v>
      </c>
      <c r="DB41" s="24">
        <f t="shared" si="60"/>
        <v>0</v>
      </c>
      <c r="DC41" s="24">
        <f t="shared" si="60"/>
        <v>0</v>
      </c>
      <c r="DD41" s="24">
        <f t="shared" si="60"/>
        <v>0</v>
      </c>
      <c r="DE41" s="24"/>
      <c r="DF41" s="24">
        <f t="shared" si="61"/>
        <v>0</v>
      </c>
      <c r="DG41" s="24">
        <f t="shared" si="54"/>
        <v>90420000</v>
      </c>
      <c r="DH41" s="24">
        <f t="shared" si="62"/>
        <v>0</v>
      </c>
      <c r="DJ41" s="29">
        <f t="shared" si="19"/>
        <v>200000000</v>
      </c>
      <c r="DK41" s="29">
        <f t="shared" si="20"/>
        <v>200000000</v>
      </c>
      <c r="DL41" s="29">
        <f t="shared" si="21"/>
        <v>200000000</v>
      </c>
    </row>
    <row r="42" spans="1:117" ht="33.75" customHeight="1" x14ac:dyDescent="0.25">
      <c r="A42" s="246"/>
      <c r="B42" s="241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4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5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6"/>
        <v>0</v>
      </c>
      <c r="AY42" s="24">
        <f t="shared" si="46"/>
        <v>0</v>
      </c>
      <c r="AZ42" s="24">
        <f t="shared" si="46"/>
        <v>0</v>
      </c>
      <c r="BA42" s="24">
        <f t="shared" si="46"/>
        <v>0</v>
      </c>
      <c r="BB42" s="24">
        <f t="shared" si="56"/>
        <v>0</v>
      </c>
      <c r="BC42" s="24">
        <f t="shared" si="56"/>
        <v>0</v>
      </c>
      <c r="BD42" s="24">
        <f t="shared" si="56"/>
        <v>0</v>
      </c>
      <c r="BE42" s="24">
        <f t="shared" si="56"/>
        <v>0</v>
      </c>
      <c r="BF42" s="24">
        <f t="shared" si="56"/>
        <v>0</v>
      </c>
      <c r="BG42" s="24">
        <f t="shared" si="56"/>
        <v>0</v>
      </c>
      <c r="BH42" s="24">
        <f t="shared" si="56"/>
        <v>0</v>
      </c>
      <c r="BI42" s="24">
        <f t="shared" si="56"/>
        <v>0</v>
      </c>
      <c r="BJ42" s="24">
        <f t="shared" si="56"/>
        <v>0</v>
      </c>
      <c r="BK42" s="24">
        <f t="shared" si="56"/>
        <v>0</v>
      </c>
      <c r="BL42" s="24">
        <f t="shared" si="56"/>
        <v>0</v>
      </c>
      <c r="BM42" s="24">
        <f t="shared" si="56"/>
        <v>0</v>
      </c>
      <c r="BN42" s="24"/>
      <c r="BO42" s="24"/>
      <c r="BP42" s="24">
        <f t="shared" si="57"/>
        <v>0</v>
      </c>
      <c r="BQ42" s="24">
        <f t="shared" si="58"/>
        <v>0</v>
      </c>
      <c r="BR42" s="25" t="e">
        <f t="shared" si="10"/>
        <v>#DIV/0!</v>
      </c>
      <c r="BS42" s="24">
        <f t="shared" si="39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40"/>
        <v>0</v>
      </c>
      <c r="CP42" s="24">
        <f t="shared" si="49"/>
        <v>0</v>
      </c>
      <c r="CQ42" s="24">
        <f t="shared" si="49"/>
        <v>0</v>
      </c>
      <c r="CR42" s="24">
        <f t="shared" si="49"/>
        <v>0</v>
      </c>
      <c r="CS42" s="24">
        <f t="shared" si="49"/>
        <v>0</v>
      </c>
      <c r="CT42" s="24">
        <f t="shared" si="49"/>
        <v>0</v>
      </c>
      <c r="CU42" s="24">
        <f t="shared" si="49"/>
        <v>0</v>
      </c>
      <c r="CV42" s="24">
        <f t="shared" si="59"/>
        <v>0</v>
      </c>
      <c r="CW42" s="24">
        <f t="shared" si="59"/>
        <v>0</v>
      </c>
      <c r="CX42" s="24">
        <f t="shared" si="59"/>
        <v>0</v>
      </c>
      <c r="CY42" s="24">
        <f t="shared" si="51"/>
        <v>0</v>
      </c>
      <c r="CZ42" s="24">
        <f t="shared" si="51"/>
        <v>0</v>
      </c>
      <c r="DA42" s="24">
        <f t="shared" si="51"/>
        <v>0</v>
      </c>
      <c r="DB42" s="24">
        <f t="shared" si="60"/>
        <v>0</v>
      </c>
      <c r="DC42" s="24">
        <f t="shared" si="60"/>
        <v>0</v>
      </c>
      <c r="DD42" s="24">
        <f t="shared" si="60"/>
        <v>0</v>
      </c>
      <c r="DE42" s="24"/>
      <c r="DF42" s="24">
        <f t="shared" si="61"/>
        <v>0</v>
      </c>
      <c r="DG42" s="24">
        <f t="shared" si="54"/>
        <v>0</v>
      </c>
      <c r="DH42" s="24">
        <f t="shared" si="62"/>
        <v>0</v>
      </c>
      <c r="DJ42" s="29">
        <f t="shared" si="19"/>
        <v>0</v>
      </c>
      <c r="DK42" s="29">
        <f t="shared" si="20"/>
        <v>0</v>
      </c>
      <c r="DL42" s="29">
        <f t="shared" si="21"/>
        <v>0</v>
      </c>
    </row>
    <row r="43" spans="1:117" ht="25.5" customHeight="1" x14ac:dyDescent="0.25">
      <c r="A43" s="246"/>
      <c r="B43" s="239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4"/>
        <v>2090344065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1300000000+44000000-44000000+488711643+13621206+25971216+262040000</f>
        <v>2090344065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0.80912088986652064</v>
      </c>
      <c r="AB43" s="24">
        <f t="shared" si="35"/>
        <v>1691341050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+'[4]DICIEMBRE 2016'!$V$2508</f>
        <v>1691341050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0.19087911013347936</v>
      </c>
      <c r="AX43" s="24">
        <f t="shared" si="36"/>
        <v>399003015</v>
      </c>
      <c r="AY43" s="24">
        <f t="shared" si="46"/>
        <v>0</v>
      </c>
      <c r="AZ43" s="24">
        <f t="shared" si="46"/>
        <v>0</v>
      </c>
      <c r="BA43" s="24">
        <f t="shared" si="46"/>
        <v>0</v>
      </c>
      <c r="BB43" s="24">
        <f t="shared" si="56"/>
        <v>0</v>
      </c>
      <c r="BC43" s="24">
        <f t="shared" si="56"/>
        <v>0</v>
      </c>
      <c r="BD43" s="24">
        <f t="shared" si="56"/>
        <v>0</v>
      </c>
      <c r="BE43" s="24">
        <f t="shared" si="56"/>
        <v>0</v>
      </c>
      <c r="BF43" s="24">
        <f t="shared" si="56"/>
        <v>0</v>
      </c>
      <c r="BG43" s="24">
        <f t="shared" si="56"/>
        <v>0</v>
      </c>
      <c r="BH43" s="24">
        <f t="shared" si="56"/>
        <v>0</v>
      </c>
      <c r="BI43" s="24">
        <f t="shared" si="56"/>
        <v>399003015</v>
      </c>
      <c r="BJ43" s="24">
        <f t="shared" si="56"/>
        <v>0</v>
      </c>
      <c r="BK43" s="24">
        <f t="shared" si="56"/>
        <v>0</v>
      </c>
      <c r="BL43" s="24">
        <f t="shared" si="56"/>
        <v>0</v>
      </c>
      <c r="BM43" s="24">
        <f t="shared" si="56"/>
        <v>0</v>
      </c>
      <c r="BN43" s="24"/>
      <c r="BO43" s="24">
        <f>+X43-AT43</f>
        <v>0</v>
      </c>
      <c r="BP43" s="24">
        <f t="shared" si="57"/>
        <v>0</v>
      </c>
      <c r="BQ43" s="24">
        <f t="shared" si="58"/>
        <v>0</v>
      </c>
      <c r="BR43" s="25">
        <f t="shared" si="10"/>
        <v>0.80912088986652064</v>
      </c>
      <c r="BS43" s="24">
        <f t="shared" si="39"/>
        <v>1691341050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+'[4]DICIEMBRE 2016'!$V$2508</f>
        <v>1691341050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0.19087911013347936</v>
      </c>
      <c r="CO43" s="24">
        <f t="shared" si="40"/>
        <v>399003015</v>
      </c>
      <c r="CP43" s="24">
        <f t="shared" si="49"/>
        <v>0</v>
      </c>
      <c r="CQ43" s="24">
        <f t="shared" si="49"/>
        <v>0</v>
      </c>
      <c r="CR43" s="24">
        <f t="shared" si="49"/>
        <v>0</v>
      </c>
      <c r="CS43" s="24">
        <f t="shared" si="49"/>
        <v>0</v>
      </c>
      <c r="CT43" s="24">
        <f t="shared" si="49"/>
        <v>0</v>
      </c>
      <c r="CU43" s="24">
        <f t="shared" si="49"/>
        <v>0</v>
      </c>
      <c r="CV43" s="24">
        <f t="shared" si="59"/>
        <v>0</v>
      </c>
      <c r="CW43" s="24">
        <f t="shared" si="59"/>
        <v>0</v>
      </c>
      <c r="CX43" s="24">
        <f t="shared" si="59"/>
        <v>0</v>
      </c>
      <c r="CY43" s="24">
        <f t="shared" si="51"/>
        <v>0</v>
      </c>
      <c r="CZ43" s="24">
        <f t="shared" si="51"/>
        <v>399003015</v>
      </c>
      <c r="DA43" s="24">
        <f t="shared" si="51"/>
        <v>0</v>
      </c>
      <c r="DB43" s="24">
        <f t="shared" si="60"/>
        <v>0</v>
      </c>
      <c r="DC43" s="24">
        <f t="shared" si="60"/>
        <v>0</v>
      </c>
      <c r="DD43" s="24">
        <f t="shared" si="60"/>
        <v>0</v>
      </c>
      <c r="DE43" s="24"/>
      <c r="DF43" s="24">
        <f t="shared" si="61"/>
        <v>0</v>
      </c>
      <c r="DG43" s="24">
        <f t="shared" si="54"/>
        <v>0</v>
      </c>
      <c r="DH43" s="24">
        <f t="shared" si="62"/>
        <v>0</v>
      </c>
      <c r="DJ43" s="29">
        <f t="shared" si="19"/>
        <v>2090344065</v>
      </c>
      <c r="DK43" s="29">
        <f t="shared" si="20"/>
        <v>2090344065</v>
      </c>
      <c r="DL43" s="29">
        <f t="shared" si="21"/>
        <v>2090344065</v>
      </c>
    </row>
    <row r="44" spans="1:117" ht="41.25" customHeight="1" x14ac:dyDescent="0.25">
      <c r="A44" s="246"/>
      <c r="B44" s="240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4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0.91862840336846285</v>
      </c>
      <c r="AB44" s="24">
        <f t="shared" si="35"/>
        <v>88275477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+'[2]DICIEMBRE 2016'!$Y$3069</f>
        <v>88275477</v>
      </c>
      <c r="AR44" s="24"/>
      <c r="AS44" s="24"/>
      <c r="AT44" s="24"/>
      <c r="AU44" s="24"/>
      <c r="AV44" s="24"/>
      <c r="AW44" s="25">
        <f t="shared" si="3"/>
        <v>8.1371596631537146E-2</v>
      </c>
      <c r="AX44" s="24">
        <f t="shared" si="36"/>
        <v>7819393</v>
      </c>
      <c r="AY44" s="24">
        <f t="shared" si="46"/>
        <v>0</v>
      </c>
      <c r="AZ44" s="24">
        <f t="shared" si="46"/>
        <v>0</v>
      </c>
      <c r="BA44" s="24">
        <f t="shared" si="46"/>
        <v>0</v>
      </c>
      <c r="BB44" s="24">
        <f t="shared" si="56"/>
        <v>0</v>
      </c>
      <c r="BC44" s="24">
        <f t="shared" si="56"/>
        <v>0</v>
      </c>
      <c r="BD44" s="24">
        <f t="shared" si="56"/>
        <v>0</v>
      </c>
      <c r="BE44" s="24">
        <f t="shared" si="56"/>
        <v>0</v>
      </c>
      <c r="BF44" s="24">
        <f>+O44-AL44</f>
        <v>0</v>
      </c>
      <c r="BG44" s="24">
        <f>+P44-AM44</f>
        <v>0</v>
      </c>
      <c r="BH44" s="24">
        <f t="shared" si="56"/>
        <v>0</v>
      </c>
      <c r="BI44" s="24">
        <f t="shared" si="56"/>
        <v>0</v>
      </c>
      <c r="BJ44" s="24">
        <f t="shared" si="56"/>
        <v>0</v>
      </c>
      <c r="BK44" s="24">
        <f t="shared" si="56"/>
        <v>0</v>
      </c>
      <c r="BL44" s="24">
        <f t="shared" si="56"/>
        <v>7819393</v>
      </c>
      <c r="BM44" s="24">
        <f t="shared" si="56"/>
        <v>0</v>
      </c>
      <c r="BN44" s="24"/>
      <c r="BO44" s="24">
        <f>+X44-AT44</f>
        <v>0</v>
      </c>
      <c r="BP44" s="24">
        <f t="shared" si="57"/>
        <v>0</v>
      </c>
      <c r="BQ44" s="24">
        <f t="shared" si="58"/>
        <v>0</v>
      </c>
      <c r="BR44" s="25">
        <f t="shared" si="10"/>
        <v>0.91862840336846285</v>
      </c>
      <c r="BS44" s="24">
        <f t="shared" si="39"/>
        <v>88275477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+'[5]NOVIEMBRE 2016'!$H$2917</f>
        <v>88275477</v>
      </c>
      <c r="CI44" s="24"/>
      <c r="CJ44" s="24"/>
      <c r="CK44" s="24"/>
      <c r="CL44" s="24"/>
      <c r="CM44" s="24"/>
      <c r="CN44" s="25">
        <f t="shared" si="12"/>
        <v>8.1371596631537146E-2</v>
      </c>
      <c r="CO44" s="24">
        <f t="shared" si="40"/>
        <v>7819393</v>
      </c>
      <c r="CP44" s="24">
        <f t="shared" si="49"/>
        <v>0</v>
      </c>
      <c r="CQ44" s="24">
        <f t="shared" si="49"/>
        <v>0</v>
      </c>
      <c r="CR44" s="24">
        <f t="shared" si="49"/>
        <v>0</v>
      </c>
      <c r="CS44" s="24">
        <f t="shared" si="49"/>
        <v>0</v>
      </c>
      <c r="CT44" s="24">
        <f t="shared" si="49"/>
        <v>0</v>
      </c>
      <c r="CU44" s="24">
        <f t="shared" si="49"/>
        <v>0</v>
      </c>
      <c r="CV44" s="24">
        <f t="shared" si="59"/>
        <v>0</v>
      </c>
      <c r="CW44" s="24">
        <f t="shared" si="59"/>
        <v>0</v>
      </c>
      <c r="CX44" s="24">
        <f t="shared" si="59"/>
        <v>0</v>
      </c>
      <c r="CY44" s="24">
        <f t="shared" si="51"/>
        <v>0</v>
      </c>
      <c r="CZ44" s="24">
        <f t="shared" si="51"/>
        <v>0</v>
      </c>
      <c r="DA44" s="24">
        <f t="shared" si="51"/>
        <v>0</v>
      </c>
      <c r="DB44" s="24">
        <f t="shared" si="60"/>
        <v>0</v>
      </c>
      <c r="DC44" s="24">
        <f t="shared" si="60"/>
        <v>7819393</v>
      </c>
      <c r="DD44" s="24">
        <f t="shared" si="60"/>
        <v>0</v>
      </c>
      <c r="DE44" s="24"/>
      <c r="DF44" s="24">
        <f t="shared" si="61"/>
        <v>0</v>
      </c>
      <c r="DG44" s="24">
        <f t="shared" si="54"/>
        <v>0</v>
      </c>
      <c r="DH44" s="24">
        <f t="shared" si="62"/>
        <v>0</v>
      </c>
      <c r="DJ44" s="29">
        <f t="shared" si="19"/>
        <v>96094870</v>
      </c>
      <c r="DK44" s="29">
        <f t="shared" si="20"/>
        <v>96094870</v>
      </c>
      <c r="DL44" s="29">
        <f t="shared" si="21"/>
        <v>96094870</v>
      </c>
    </row>
    <row r="45" spans="1:117" ht="24" customHeight="1" x14ac:dyDescent="0.25">
      <c r="A45" s="246"/>
      <c r="B45" s="241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4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0.79209560976756954</v>
      </c>
      <c r="AB45" s="24">
        <f t="shared" si="35"/>
        <v>17514129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+'[4]DICIEMBRE 2016'!$Y$3092</f>
        <v>17514129</v>
      </c>
      <c r="AR45" s="24"/>
      <c r="AS45" s="24"/>
      <c r="AT45" s="24"/>
      <c r="AU45" s="24"/>
      <c r="AV45" s="24"/>
      <c r="AW45" s="25">
        <f t="shared" si="3"/>
        <v>0.20790439023243046</v>
      </c>
      <c r="AX45" s="24">
        <f t="shared" si="36"/>
        <v>4597001</v>
      </c>
      <c r="AY45" s="24">
        <f t="shared" si="46"/>
        <v>0</v>
      </c>
      <c r="AZ45" s="24">
        <f t="shared" si="46"/>
        <v>0</v>
      </c>
      <c r="BA45" s="24">
        <f t="shared" si="46"/>
        <v>0</v>
      </c>
      <c r="BB45" s="24">
        <f t="shared" si="56"/>
        <v>0</v>
      </c>
      <c r="BC45" s="24">
        <f t="shared" si="56"/>
        <v>0</v>
      </c>
      <c r="BD45" s="24">
        <f t="shared" si="56"/>
        <v>0</v>
      </c>
      <c r="BE45" s="24">
        <f t="shared" si="56"/>
        <v>0</v>
      </c>
      <c r="BF45" s="24">
        <f>+O45-AL45</f>
        <v>0</v>
      </c>
      <c r="BG45" s="24">
        <f>+P45-AM45</f>
        <v>0</v>
      </c>
      <c r="BH45" s="24">
        <f t="shared" si="56"/>
        <v>0</v>
      </c>
      <c r="BI45" s="24">
        <f t="shared" si="56"/>
        <v>0</v>
      </c>
      <c r="BJ45" s="24">
        <f t="shared" si="56"/>
        <v>0</v>
      </c>
      <c r="BK45" s="24"/>
      <c r="BL45" s="24">
        <f t="shared" si="56"/>
        <v>4597001</v>
      </c>
      <c r="BM45" s="24">
        <f t="shared" si="56"/>
        <v>0</v>
      </c>
      <c r="BN45" s="24"/>
      <c r="BO45" s="24"/>
      <c r="BP45" s="24">
        <f t="shared" si="57"/>
        <v>0</v>
      </c>
      <c r="BQ45" s="24">
        <f t="shared" si="58"/>
        <v>0</v>
      </c>
      <c r="BR45" s="25">
        <f t="shared" si="10"/>
        <v>0.79209560976756954</v>
      </c>
      <c r="BS45" s="24">
        <f t="shared" si="39"/>
        <v>17514129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+'[4]DICIEMBRE 2016'!$Y$3092</f>
        <v>17514129</v>
      </c>
      <c r="CI45" s="24"/>
      <c r="CJ45" s="24"/>
      <c r="CK45" s="24"/>
      <c r="CL45" s="24"/>
      <c r="CM45" s="24"/>
      <c r="CN45" s="25">
        <f t="shared" si="12"/>
        <v>0.20790439023243046</v>
      </c>
      <c r="CO45" s="24">
        <f t="shared" si="40"/>
        <v>4597001</v>
      </c>
      <c r="CP45" s="24">
        <f t="shared" si="49"/>
        <v>0</v>
      </c>
      <c r="CQ45" s="24">
        <f t="shared" si="49"/>
        <v>0</v>
      </c>
      <c r="CR45" s="24">
        <f t="shared" si="49"/>
        <v>0</v>
      </c>
      <c r="CS45" s="24">
        <f t="shared" si="49"/>
        <v>0</v>
      </c>
      <c r="CT45" s="24">
        <f t="shared" si="49"/>
        <v>0</v>
      </c>
      <c r="CU45" s="24">
        <f t="shared" si="49"/>
        <v>0</v>
      </c>
      <c r="CV45" s="24">
        <f t="shared" si="59"/>
        <v>0</v>
      </c>
      <c r="CW45" s="24">
        <f t="shared" si="59"/>
        <v>0</v>
      </c>
      <c r="CX45" s="24">
        <f t="shared" si="59"/>
        <v>0</v>
      </c>
      <c r="CY45" s="24">
        <f t="shared" si="51"/>
        <v>0</v>
      </c>
      <c r="CZ45" s="24">
        <f t="shared" si="51"/>
        <v>0</v>
      </c>
      <c r="DA45" s="24">
        <f t="shared" si="51"/>
        <v>0</v>
      </c>
      <c r="DB45" s="24">
        <f t="shared" si="60"/>
        <v>0</v>
      </c>
      <c r="DC45" s="24">
        <f t="shared" si="60"/>
        <v>4597001</v>
      </c>
      <c r="DD45" s="24">
        <f t="shared" si="60"/>
        <v>0</v>
      </c>
      <c r="DE45" s="24"/>
      <c r="DF45" s="24">
        <f t="shared" si="61"/>
        <v>0</v>
      </c>
      <c r="DG45" s="24">
        <f t="shared" si="54"/>
        <v>0</v>
      </c>
      <c r="DH45" s="24">
        <f t="shared" si="62"/>
        <v>0</v>
      </c>
      <c r="DJ45" s="29">
        <f t="shared" si="19"/>
        <v>22111130</v>
      </c>
      <c r="DK45" s="29">
        <f t="shared" si="20"/>
        <v>22111130</v>
      </c>
      <c r="DL45" s="29">
        <f t="shared" si="21"/>
        <v>22111130</v>
      </c>
    </row>
    <row r="46" spans="1:117" ht="21" customHeight="1" x14ac:dyDescent="0.25">
      <c r="A46" s="246"/>
      <c r="B46" s="239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4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0.77408184999999996</v>
      </c>
      <c r="AB46" s="24">
        <f t="shared" si="35"/>
        <v>15481637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+'[4]DICIEMBRE 2016'!$Y$3106</f>
        <v>15481637</v>
      </c>
      <c r="AR46" s="24"/>
      <c r="AS46" s="24"/>
      <c r="AT46" s="24"/>
      <c r="AU46" s="24"/>
      <c r="AV46" s="24"/>
      <c r="AW46" s="25">
        <f t="shared" si="3"/>
        <v>0.22591815000000004</v>
      </c>
      <c r="AX46" s="24">
        <f t="shared" si="36"/>
        <v>4518363</v>
      </c>
      <c r="AY46" s="24">
        <f t="shared" si="46"/>
        <v>0</v>
      </c>
      <c r="AZ46" s="24">
        <f t="shared" si="46"/>
        <v>0</v>
      </c>
      <c r="BA46" s="24">
        <f t="shared" si="46"/>
        <v>0</v>
      </c>
      <c r="BB46" s="24">
        <f t="shared" si="56"/>
        <v>0</v>
      </c>
      <c r="BC46" s="24">
        <f t="shared" si="56"/>
        <v>0</v>
      </c>
      <c r="BD46" s="24">
        <f t="shared" si="56"/>
        <v>0</v>
      </c>
      <c r="BE46" s="24">
        <f t="shared" si="56"/>
        <v>0</v>
      </c>
      <c r="BF46" s="24">
        <f t="shared" si="56"/>
        <v>0</v>
      </c>
      <c r="BG46" s="24">
        <f t="shared" ref="BG46:BG59" si="63">+P46-AM46</f>
        <v>0</v>
      </c>
      <c r="BH46" s="24">
        <f t="shared" si="56"/>
        <v>0</v>
      </c>
      <c r="BI46" s="24">
        <f t="shared" si="56"/>
        <v>0</v>
      </c>
      <c r="BJ46" s="24">
        <f t="shared" si="56"/>
        <v>0</v>
      </c>
      <c r="BK46" s="24">
        <f>+T46-AP46</f>
        <v>0</v>
      </c>
      <c r="BL46" s="24">
        <f t="shared" si="56"/>
        <v>4518363</v>
      </c>
      <c r="BM46" s="24">
        <f t="shared" si="56"/>
        <v>0</v>
      </c>
      <c r="BN46" s="24"/>
      <c r="BO46" s="24">
        <f>+X46-AT46</f>
        <v>0</v>
      </c>
      <c r="BP46" s="24">
        <f t="shared" si="57"/>
        <v>0</v>
      </c>
      <c r="BQ46" s="24">
        <f t="shared" si="58"/>
        <v>0</v>
      </c>
      <c r="BR46" s="25">
        <f t="shared" si="10"/>
        <v>0.77408184999999996</v>
      </c>
      <c r="BS46" s="24">
        <f t="shared" si="39"/>
        <v>15481637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+'[4]DICIEMBRE 2016'!$Y$3106</f>
        <v>15481637</v>
      </c>
      <c r="CI46" s="24"/>
      <c r="CJ46" s="24"/>
      <c r="CK46" s="24"/>
      <c r="CL46" s="24"/>
      <c r="CM46" s="24"/>
      <c r="CN46" s="25">
        <f t="shared" si="12"/>
        <v>0.22591815000000004</v>
      </c>
      <c r="CO46" s="24">
        <f t="shared" si="40"/>
        <v>4518363</v>
      </c>
      <c r="CP46" s="24">
        <f t="shared" si="49"/>
        <v>0</v>
      </c>
      <c r="CQ46" s="24">
        <f t="shared" si="49"/>
        <v>0</v>
      </c>
      <c r="CR46" s="24">
        <f t="shared" si="49"/>
        <v>0</v>
      </c>
      <c r="CS46" s="24">
        <f t="shared" si="49"/>
        <v>0</v>
      </c>
      <c r="CT46" s="24">
        <f t="shared" si="49"/>
        <v>0</v>
      </c>
      <c r="CU46" s="24">
        <f t="shared" si="49"/>
        <v>0</v>
      </c>
      <c r="CV46" s="24">
        <f t="shared" si="59"/>
        <v>0</v>
      </c>
      <c r="CW46" s="24">
        <f t="shared" si="59"/>
        <v>0</v>
      </c>
      <c r="CX46" s="24">
        <f t="shared" si="59"/>
        <v>0</v>
      </c>
      <c r="CY46" s="24">
        <f t="shared" si="51"/>
        <v>0</v>
      </c>
      <c r="CZ46" s="24">
        <f t="shared" si="51"/>
        <v>0</v>
      </c>
      <c r="DA46" s="24">
        <f t="shared" si="51"/>
        <v>0</v>
      </c>
      <c r="DB46" s="24">
        <f t="shared" si="60"/>
        <v>0</v>
      </c>
      <c r="DC46" s="24">
        <f t="shared" si="60"/>
        <v>4518363</v>
      </c>
      <c r="DD46" s="24">
        <f t="shared" si="60"/>
        <v>0</v>
      </c>
      <c r="DE46" s="24"/>
      <c r="DF46" s="24">
        <f t="shared" si="61"/>
        <v>0</v>
      </c>
      <c r="DG46" s="24">
        <f t="shared" si="54"/>
        <v>0</v>
      </c>
      <c r="DH46" s="24">
        <f t="shared" si="62"/>
        <v>0</v>
      </c>
      <c r="DJ46" s="29">
        <f t="shared" si="19"/>
        <v>20000000</v>
      </c>
      <c r="DK46" s="29">
        <f t="shared" si="20"/>
        <v>20000000</v>
      </c>
      <c r="DL46" s="29">
        <f t="shared" si="21"/>
        <v>20000000</v>
      </c>
    </row>
    <row r="47" spans="1:117" ht="30" x14ac:dyDescent="0.25">
      <c r="A47" s="246"/>
      <c r="B47" s="240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4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5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+'[10]SEPTIEMBRE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6"/>
        <v>3166</v>
      </c>
      <c r="AY47" s="24">
        <f t="shared" si="46"/>
        <v>0</v>
      </c>
      <c r="AZ47" s="24">
        <f t="shared" si="46"/>
        <v>0</v>
      </c>
      <c r="BA47" s="24">
        <f t="shared" si="46"/>
        <v>0</v>
      </c>
      <c r="BB47" s="24">
        <f t="shared" si="56"/>
        <v>0</v>
      </c>
      <c r="BC47" s="24">
        <f t="shared" si="56"/>
        <v>0</v>
      </c>
      <c r="BD47" s="24">
        <f t="shared" si="56"/>
        <v>0</v>
      </c>
      <c r="BE47" s="24">
        <f t="shared" si="56"/>
        <v>0</v>
      </c>
      <c r="BF47" s="24">
        <f t="shared" si="56"/>
        <v>0</v>
      </c>
      <c r="BG47" s="24">
        <f t="shared" si="63"/>
        <v>0</v>
      </c>
      <c r="BH47" s="24">
        <f t="shared" si="56"/>
        <v>0</v>
      </c>
      <c r="BI47" s="24">
        <f t="shared" si="56"/>
        <v>0</v>
      </c>
      <c r="BJ47" s="24">
        <f t="shared" si="56"/>
        <v>0</v>
      </c>
      <c r="BK47" s="24">
        <f>+T47-AP47</f>
        <v>0</v>
      </c>
      <c r="BL47" s="24">
        <f t="shared" si="56"/>
        <v>3166</v>
      </c>
      <c r="BM47" s="24">
        <f t="shared" si="56"/>
        <v>0</v>
      </c>
      <c r="BN47" s="24"/>
      <c r="BO47" s="24"/>
      <c r="BP47" s="24">
        <f t="shared" si="57"/>
        <v>0</v>
      </c>
      <c r="BQ47" s="24">
        <f t="shared" si="58"/>
        <v>0</v>
      </c>
      <c r="BR47" s="25">
        <f t="shared" si="10"/>
        <v>0.9996834</v>
      </c>
      <c r="BS47" s="24">
        <f t="shared" si="39"/>
        <v>9996834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+'[2]DICIEMBRE 2016'!$H$3114</f>
        <v>9996834</v>
      </c>
      <c r="CI47" s="24"/>
      <c r="CJ47" s="24"/>
      <c r="CK47" s="24"/>
      <c r="CL47" s="24"/>
      <c r="CM47" s="24"/>
      <c r="CN47" s="25">
        <f t="shared" si="12"/>
        <v>3.1660000000000021E-4</v>
      </c>
      <c r="CO47" s="24">
        <f t="shared" si="40"/>
        <v>3166</v>
      </c>
      <c r="CP47" s="24">
        <f t="shared" si="49"/>
        <v>0</v>
      </c>
      <c r="CQ47" s="24">
        <f t="shared" si="49"/>
        <v>0</v>
      </c>
      <c r="CR47" s="24">
        <f t="shared" si="49"/>
        <v>0</v>
      </c>
      <c r="CS47" s="24">
        <f t="shared" si="49"/>
        <v>0</v>
      </c>
      <c r="CT47" s="24">
        <f t="shared" si="49"/>
        <v>0</v>
      </c>
      <c r="CU47" s="24">
        <f t="shared" si="49"/>
        <v>0</v>
      </c>
      <c r="CV47" s="24">
        <f t="shared" si="59"/>
        <v>0</v>
      </c>
      <c r="CW47" s="24">
        <f t="shared" si="59"/>
        <v>0</v>
      </c>
      <c r="CX47" s="24">
        <f t="shared" si="59"/>
        <v>0</v>
      </c>
      <c r="CY47" s="24">
        <f t="shared" si="51"/>
        <v>0</v>
      </c>
      <c r="CZ47" s="24">
        <f t="shared" si="51"/>
        <v>0</v>
      </c>
      <c r="DA47" s="24">
        <f t="shared" si="51"/>
        <v>0</v>
      </c>
      <c r="DB47" s="24">
        <f t="shared" si="60"/>
        <v>0</v>
      </c>
      <c r="DC47" s="24">
        <f t="shared" si="60"/>
        <v>3166</v>
      </c>
      <c r="DD47" s="24">
        <f t="shared" si="60"/>
        <v>0</v>
      </c>
      <c r="DE47" s="24"/>
      <c r="DF47" s="24">
        <f t="shared" si="61"/>
        <v>0</v>
      </c>
      <c r="DG47" s="24">
        <f t="shared" si="54"/>
        <v>0</v>
      </c>
      <c r="DH47" s="24">
        <f t="shared" si="62"/>
        <v>0</v>
      </c>
      <c r="DJ47" s="29">
        <f t="shared" si="19"/>
        <v>10000000</v>
      </c>
      <c r="DK47" s="29">
        <f t="shared" si="20"/>
        <v>10000000</v>
      </c>
      <c r="DL47" s="29">
        <f t="shared" si="21"/>
        <v>10000000</v>
      </c>
    </row>
    <row r="48" spans="1:117" ht="22.5" customHeight="1" x14ac:dyDescent="0.25">
      <c r="A48" s="246"/>
      <c r="B48" s="240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4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5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+'[9]AGOSTO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6"/>
        <v>2388</v>
      </c>
      <c r="AY48" s="24">
        <f t="shared" si="46"/>
        <v>0</v>
      </c>
      <c r="AZ48" s="24">
        <f t="shared" si="46"/>
        <v>0</v>
      </c>
      <c r="BA48" s="24">
        <f t="shared" si="46"/>
        <v>0</v>
      </c>
      <c r="BB48" s="24">
        <f t="shared" si="56"/>
        <v>0</v>
      </c>
      <c r="BC48" s="24">
        <f t="shared" si="56"/>
        <v>0</v>
      </c>
      <c r="BD48" s="24">
        <f t="shared" si="56"/>
        <v>0</v>
      </c>
      <c r="BE48" s="24">
        <f t="shared" si="56"/>
        <v>0</v>
      </c>
      <c r="BF48" s="24">
        <f t="shared" si="56"/>
        <v>0</v>
      </c>
      <c r="BG48" s="24">
        <f t="shared" si="63"/>
        <v>0</v>
      </c>
      <c r="BH48" s="24">
        <f t="shared" si="56"/>
        <v>0</v>
      </c>
      <c r="BI48" s="24">
        <f t="shared" si="56"/>
        <v>0</v>
      </c>
      <c r="BJ48" s="24">
        <f t="shared" si="56"/>
        <v>0</v>
      </c>
      <c r="BK48" s="24"/>
      <c r="BL48" s="24">
        <f t="shared" si="56"/>
        <v>2388</v>
      </c>
      <c r="BM48" s="24">
        <f t="shared" si="56"/>
        <v>0</v>
      </c>
      <c r="BN48" s="24"/>
      <c r="BO48" s="24"/>
      <c r="BP48" s="24">
        <f t="shared" si="57"/>
        <v>0</v>
      </c>
      <c r="BQ48" s="24">
        <f t="shared" si="58"/>
        <v>0</v>
      </c>
      <c r="BR48" s="25">
        <f t="shared" si="10"/>
        <v>0.99988060000000001</v>
      </c>
      <c r="BS48" s="24">
        <f t="shared" si="39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+'[10]SEPTIEMBRE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40"/>
        <v>2388</v>
      </c>
      <c r="CP48" s="24">
        <f t="shared" si="49"/>
        <v>0</v>
      </c>
      <c r="CQ48" s="24">
        <f t="shared" si="49"/>
        <v>0</v>
      </c>
      <c r="CR48" s="24">
        <f t="shared" si="49"/>
        <v>0</v>
      </c>
      <c r="CS48" s="24">
        <f t="shared" si="49"/>
        <v>0</v>
      </c>
      <c r="CT48" s="24">
        <f t="shared" si="49"/>
        <v>0</v>
      </c>
      <c r="CU48" s="24">
        <f t="shared" si="49"/>
        <v>0</v>
      </c>
      <c r="CV48" s="24">
        <f t="shared" si="59"/>
        <v>0</v>
      </c>
      <c r="CW48" s="24">
        <f t="shared" si="59"/>
        <v>0</v>
      </c>
      <c r="CX48" s="24">
        <f t="shared" si="59"/>
        <v>0</v>
      </c>
      <c r="CY48" s="24">
        <f t="shared" si="59"/>
        <v>0</v>
      </c>
      <c r="CZ48" s="24">
        <f t="shared" si="59"/>
        <v>0</v>
      </c>
      <c r="DA48" s="24">
        <f t="shared" si="59"/>
        <v>0</v>
      </c>
      <c r="DB48" s="24">
        <f t="shared" si="60"/>
        <v>0</v>
      </c>
      <c r="DC48" s="24">
        <f t="shared" si="60"/>
        <v>2388</v>
      </c>
      <c r="DD48" s="24">
        <f t="shared" si="60"/>
        <v>0</v>
      </c>
      <c r="DE48" s="24"/>
      <c r="DF48" s="24">
        <f t="shared" si="61"/>
        <v>0</v>
      </c>
      <c r="DG48" s="24">
        <f t="shared" ref="DG48:DG59" si="64">Y48-CL48</f>
        <v>0</v>
      </c>
      <c r="DH48" s="24">
        <f t="shared" si="62"/>
        <v>0</v>
      </c>
      <c r="DJ48" s="29">
        <f t="shared" si="19"/>
        <v>20000000</v>
      </c>
      <c r="DK48" s="29">
        <f t="shared" si="20"/>
        <v>20000000</v>
      </c>
      <c r="DL48" s="29">
        <f t="shared" si="21"/>
        <v>20000000</v>
      </c>
    </row>
    <row r="49" spans="1:116" ht="36" customHeight="1" x14ac:dyDescent="0.25">
      <c r="A49" s="246"/>
      <c r="B49" s="241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4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5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+'[10]SEPTIEMBRE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6"/>
        <v>3200000</v>
      </c>
      <c r="AY49" s="24">
        <f t="shared" si="46"/>
        <v>0</v>
      </c>
      <c r="AZ49" s="24">
        <f t="shared" si="46"/>
        <v>0</v>
      </c>
      <c r="BA49" s="24">
        <f t="shared" si="46"/>
        <v>0</v>
      </c>
      <c r="BB49" s="24">
        <f t="shared" si="56"/>
        <v>0</v>
      </c>
      <c r="BC49" s="24">
        <f t="shared" si="56"/>
        <v>0</v>
      </c>
      <c r="BD49" s="24">
        <f t="shared" si="56"/>
        <v>0</v>
      </c>
      <c r="BE49" s="24">
        <f t="shared" si="56"/>
        <v>0</v>
      </c>
      <c r="BF49" s="24">
        <f t="shared" si="56"/>
        <v>0</v>
      </c>
      <c r="BG49" s="24">
        <f t="shared" si="63"/>
        <v>0</v>
      </c>
      <c r="BH49" s="24">
        <f t="shared" si="56"/>
        <v>0</v>
      </c>
      <c r="BI49" s="24">
        <f t="shared" si="56"/>
        <v>0</v>
      </c>
      <c r="BJ49" s="24">
        <f t="shared" si="56"/>
        <v>0</v>
      </c>
      <c r="BK49" s="24"/>
      <c r="BL49" s="24">
        <f t="shared" si="56"/>
        <v>0</v>
      </c>
      <c r="BM49" s="24">
        <f t="shared" si="56"/>
        <v>0</v>
      </c>
      <c r="BN49" s="24"/>
      <c r="BO49" s="24"/>
      <c r="BP49" s="24">
        <f t="shared" si="57"/>
        <v>0</v>
      </c>
      <c r="BQ49" s="24">
        <f t="shared" si="58"/>
        <v>3200000</v>
      </c>
      <c r="BR49" s="25">
        <f t="shared" si="10"/>
        <v>0.75757575757575757</v>
      </c>
      <c r="BS49" s="24">
        <f t="shared" si="39"/>
        <v>10000000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+'[2]DICIEMBRE 2016'!$H$3127</f>
        <v>10000000</v>
      </c>
      <c r="CI49" s="24"/>
      <c r="CJ49" s="24"/>
      <c r="CK49" s="24"/>
      <c r="CL49" s="24"/>
      <c r="CM49" s="24"/>
      <c r="CN49" s="25">
        <f t="shared" si="12"/>
        <v>0.24242424242424243</v>
      </c>
      <c r="CO49" s="24">
        <f t="shared" si="40"/>
        <v>3200000</v>
      </c>
      <c r="CP49" s="24">
        <f t="shared" si="49"/>
        <v>0</v>
      </c>
      <c r="CQ49" s="24">
        <f t="shared" si="49"/>
        <v>0</v>
      </c>
      <c r="CR49" s="24">
        <f t="shared" si="49"/>
        <v>0</v>
      </c>
      <c r="CS49" s="24">
        <f t="shared" si="49"/>
        <v>0</v>
      </c>
      <c r="CT49" s="24">
        <f t="shared" si="49"/>
        <v>0</v>
      </c>
      <c r="CU49" s="24">
        <f t="shared" si="49"/>
        <v>0</v>
      </c>
      <c r="CV49" s="24">
        <f t="shared" si="59"/>
        <v>0</v>
      </c>
      <c r="CW49" s="24">
        <f t="shared" si="59"/>
        <v>0</v>
      </c>
      <c r="CX49" s="24">
        <f t="shared" si="59"/>
        <v>0</v>
      </c>
      <c r="CY49" s="24">
        <f t="shared" si="59"/>
        <v>0</v>
      </c>
      <c r="CZ49" s="24">
        <f t="shared" si="59"/>
        <v>0</v>
      </c>
      <c r="DA49" s="24">
        <f t="shared" si="59"/>
        <v>0</v>
      </c>
      <c r="DB49" s="24">
        <f t="shared" si="60"/>
        <v>0</v>
      </c>
      <c r="DC49" s="24">
        <f t="shared" si="60"/>
        <v>0</v>
      </c>
      <c r="DD49" s="24">
        <f t="shared" si="60"/>
        <v>0</v>
      </c>
      <c r="DE49" s="24"/>
      <c r="DF49" s="24">
        <f t="shared" si="61"/>
        <v>0</v>
      </c>
      <c r="DG49" s="24">
        <f t="shared" si="64"/>
        <v>0</v>
      </c>
      <c r="DH49" s="24">
        <f t="shared" si="62"/>
        <v>3200000</v>
      </c>
      <c r="DJ49" s="29">
        <f t="shared" si="19"/>
        <v>13200000</v>
      </c>
      <c r="DK49" s="29">
        <f t="shared" si="20"/>
        <v>13200000</v>
      </c>
      <c r="DL49" s="29">
        <f t="shared" si="21"/>
        <v>13200000</v>
      </c>
    </row>
    <row r="50" spans="1:116" ht="23.25" customHeight="1" x14ac:dyDescent="0.25">
      <c r="A50" s="246" t="s">
        <v>87</v>
      </c>
      <c r="B50" s="239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4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0.99321566274228323</v>
      </c>
      <c r="AB50" s="24">
        <f t="shared" si="35"/>
        <v>372199461</v>
      </c>
      <c r="AC50" s="24"/>
      <c r="AD50" s="24"/>
      <c r="AE50" s="24">
        <f>+'[3]ENERO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+'[4]DICIEMBRE 2016'!$AF$3141</f>
        <v>102199461</v>
      </c>
      <c r="AV50" s="24"/>
      <c r="AW50" s="25">
        <f t="shared" si="3"/>
        <v>6.784337257716766E-3</v>
      </c>
      <c r="AX50" s="24">
        <f t="shared" si="36"/>
        <v>2542375</v>
      </c>
      <c r="AY50" s="24">
        <f t="shared" si="46"/>
        <v>0</v>
      </c>
      <c r="AZ50" s="24">
        <f t="shared" si="46"/>
        <v>0</v>
      </c>
      <c r="BA50" s="24">
        <f t="shared" si="46"/>
        <v>0</v>
      </c>
      <c r="BB50" s="24">
        <f t="shared" si="56"/>
        <v>0</v>
      </c>
      <c r="BC50" s="24">
        <f t="shared" si="56"/>
        <v>0</v>
      </c>
      <c r="BD50" s="24">
        <f t="shared" si="56"/>
        <v>0</v>
      </c>
      <c r="BE50" s="24">
        <f t="shared" si="56"/>
        <v>0</v>
      </c>
      <c r="BF50" s="24">
        <f t="shared" si="56"/>
        <v>0</v>
      </c>
      <c r="BG50" s="24">
        <f t="shared" si="63"/>
        <v>0</v>
      </c>
      <c r="BH50" s="24">
        <f t="shared" si="56"/>
        <v>0</v>
      </c>
      <c r="BI50" s="24">
        <f t="shared" si="56"/>
        <v>0</v>
      </c>
      <c r="BJ50" s="24">
        <f t="shared" si="56"/>
        <v>0</v>
      </c>
      <c r="BK50" s="24">
        <f>+T50-AP50</f>
        <v>0</v>
      </c>
      <c r="BL50" s="24">
        <f t="shared" si="56"/>
        <v>0</v>
      </c>
      <c r="BM50" s="24">
        <f t="shared" si="56"/>
        <v>0</v>
      </c>
      <c r="BN50" s="24"/>
      <c r="BO50" s="24"/>
      <c r="BP50" s="24">
        <f t="shared" si="57"/>
        <v>2542375</v>
      </c>
      <c r="BQ50" s="24">
        <f t="shared" si="58"/>
        <v>0</v>
      </c>
      <c r="BR50" s="25">
        <f t="shared" si="10"/>
        <v>0.99321566274228323</v>
      </c>
      <c r="BS50" s="24">
        <f t="shared" si="39"/>
        <v>372199461</v>
      </c>
      <c r="BT50" s="24"/>
      <c r="BU50" s="24"/>
      <c r="BV50" s="24">
        <f>+'[3]ENERO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+'[4]DICIEMBRE 2016'!$AF$3141</f>
        <v>102199461</v>
      </c>
      <c r="CM50" s="24"/>
      <c r="CN50" s="25">
        <f t="shared" si="12"/>
        <v>6.784337257716766E-3</v>
      </c>
      <c r="CO50" s="24">
        <f t="shared" si="40"/>
        <v>2542375</v>
      </c>
      <c r="CP50" s="24">
        <f t="shared" si="49"/>
        <v>0</v>
      </c>
      <c r="CQ50" s="24">
        <f t="shared" si="49"/>
        <v>0</v>
      </c>
      <c r="CR50" s="24">
        <f t="shared" si="49"/>
        <v>0</v>
      </c>
      <c r="CS50" s="24">
        <f t="shared" si="49"/>
        <v>0</v>
      </c>
      <c r="CT50" s="24">
        <f t="shared" si="49"/>
        <v>0</v>
      </c>
      <c r="CU50" s="24">
        <f t="shared" si="49"/>
        <v>0</v>
      </c>
      <c r="CV50" s="24">
        <f t="shared" si="59"/>
        <v>0</v>
      </c>
      <c r="CW50" s="24">
        <f t="shared" si="59"/>
        <v>0</v>
      </c>
      <c r="CX50" s="24">
        <f t="shared" si="59"/>
        <v>0</v>
      </c>
      <c r="CY50" s="24">
        <f t="shared" ref="CY50:DA59" si="65">Q50-CD50</f>
        <v>0</v>
      </c>
      <c r="CZ50" s="24">
        <f t="shared" si="65"/>
        <v>0</v>
      </c>
      <c r="DA50" s="24">
        <f t="shared" si="65"/>
        <v>0</v>
      </c>
      <c r="DB50" s="24">
        <f t="shared" si="60"/>
        <v>0</v>
      </c>
      <c r="DC50" s="24">
        <f t="shared" si="60"/>
        <v>0</v>
      </c>
      <c r="DD50" s="24">
        <f t="shared" si="60"/>
        <v>0</v>
      </c>
      <c r="DE50" s="24"/>
      <c r="DF50" s="24">
        <f t="shared" si="61"/>
        <v>0</v>
      </c>
      <c r="DG50" s="24">
        <f t="shared" si="64"/>
        <v>2542375</v>
      </c>
      <c r="DH50" s="24">
        <f t="shared" si="62"/>
        <v>0</v>
      </c>
      <c r="DJ50" s="29">
        <f t="shared" si="19"/>
        <v>374741836</v>
      </c>
      <c r="DK50" s="29">
        <f t="shared" si="20"/>
        <v>374741836</v>
      </c>
      <c r="DL50" s="29">
        <f t="shared" si="21"/>
        <v>374741836</v>
      </c>
    </row>
    <row r="51" spans="1:116" s="58" customFormat="1" ht="22.5" customHeight="1" x14ac:dyDescent="0.25">
      <c r="A51" s="246"/>
      <c r="B51" s="241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4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5"/>
        <v>30000000</v>
      </c>
      <c r="AC51" s="54"/>
      <c r="AD51" s="54"/>
      <c r="AE51" s="54">
        <f>+'[8]JULIO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6"/>
        <v>0</v>
      </c>
      <c r="AY51" s="24">
        <f t="shared" si="46"/>
        <v>0</v>
      </c>
      <c r="AZ51" s="24">
        <f t="shared" si="46"/>
        <v>0</v>
      </c>
      <c r="BA51" s="24">
        <f t="shared" si="46"/>
        <v>0</v>
      </c>
      <c r="BB51" s="24">
        <f t="shared" si="56"/>
        <v>0</v>
      </c>
      <c r="BC51" s="24">
        <f t="shared" si="56"/>
        <v>0</v>
      </c>
      <c r="BD51" s="24">
        <f t="shared" si="56"/>
        <v>0</v>
      </c>
      <c r="BE51" s="24">
        <f t="shared" si="56"/>
        <v>0</v>
      </c>
      <c r="BF51" s="24">
        <f t="shared" si="56"/>
        <v>0</v>
      </c>
      <c r="BG51" s="24">
        <f t="shared" si="63"/>
        <v>0</v>
      </c>
      <c r="BH51" s="24">
        <f t="shared" si="56"/>
        <v>0</v>
      </c>
      <c r="BI51" s="24">
        <f t="shared" si="56"/>
        <v>0</v>
      </c>
      <c r="BJ51" s="24">
        <f t="shared" si="56"/>
        <v>0</v>
      </c>
      <c r="BK51" s="54"/>
      <c r="BL51" s="24">
        <f t="shared" si="56"/>
        <v>0</v>
      </c>
      <c r="BM51" s="24">
        <f t="shared" si="56"/>
        <v>0</v>
      </c>
      <c r="BN51" s="24"/>
      <c r="BO51" s="54"/>
      <c r="BP51" s="24">
        <f t="shared" si="57"/>
        <v>0</v>
      </c>
      <c r="BQ51" s="54">
        <f t="shared" si="58"/>
        <v>0</v>
      </c>
      <c r="BR51" s="57">
        <f t="shared" si="10"/>
        <v>1</v>
      </c>
      <c r="BS51" s="24">
        <f t="shared" si="39"/>
        <v>30000000</v>
      </c>
      <c r="BT51" s="54"/>
      <c r="BU51" s="54"/>
      <c r="BV51" s="54">
        <f>+'[9]AGOSTO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40"/>
        <v>0</v>
      </c>
      <c r="CP51" s="24">
        <f t="shared" si="49"/>
        <v>0</v>
      </c>
      <c r="CQ51" s="24">
        <f t="shared" si="49"/>
        <v>0</v>
      </c>
      <c r="CR51" s="24">
        <f t="shared" si="49"/>
        <v>0</v>
      </c>
      <c r="CS51" s="24">
        <f t="shared" si="49"/>
        <v>0</v>
      </c>
      <c r="CT51" s="24">
        <f t="shared" si="49"/>
        <v>0</v>
      </c>
      <c r="CU51" s="24">
        <f t="shared" si="49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5"/>
        <v>0</v>
      </c>
      <c r="CZ51" s="24">
        <f t="shared" si="65"/>
        <v>0</v>
      </c>
      <c r="DA51" s="24">
        <f t="shared" si="65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4"/>
        <v>0</v>
      </c>
      <c r="DH51" s="24">
        <f>Z51-CM51</f>
        <v>0</v>
      </c>
      <c r="DJ51" s="29">
        <f t="shared" si="19"/>
        <v>30000000</v>
      </c>
      <c r="DK51" s="29">
        <f t="shared" si="20"/>
        <v>30000000</v>
      </c>
      <c r="DL51" s="29">
        <f t="shared" si="21"/>
        <v>30000000</v>
      </c>
    </row>
    <row r="52" spans="1:116" ht="36" customHeight="1" x14ac:dyDescent="0.25">
      <c r="A52" s="246"/>
      <c r="B52" s="239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4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0.96162207777777775</v>
      </c>
      <c r="AB52" s="24">
        <f t="shared" si="35"/>
        <v>86545987</v>
      </c>
      <c r="AC52" s="24"/>
      <c r="AD52" s="24"/>
      <c r="AE52" s="24">
        <f>+'[4]DICIEMBRE 2016'!$M$3163</f>
        <v>18177642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+'[4]DICIEMBRE 2016'!$Y$3163</f>
        <v>68368345</v>
      </c>
      <c r="AR52" s="24"/>
      <c r="AS52" s="24"/>
      <c r="AT52" s="24"/>
      <c r="AU52" s="24"/>
      <c r="AV52" s="24"/>
      <c r="AW52" s="25">
        <f t="shared" si="3"/>
        <v>3.8377922222222249E-2</v>
      </c>
      <c r="AX52" s="24">
        <f t="shared" si="36"/>
        <v>3454013</v>
      </c>
      <c r="AY52" s="24">
        <f t="shared" si="46"/>
        <v>0</v>
      </c>
      <c r="AZ52" s="24">
        <f t="shared" si="46"/>
        <v>3087149</v>
      </c>
      <c r="BA52" s="24">
        <f t="shared" si="46"/>
        <v>0</v>
      </c>
      <c r="BB52" s="24">
        <f t="shared" si="56"/>
        <v>0</v>
      </c>
      <c r="BC52" s="24">
        <f t="shared" si="56"/>
        <v>0</v>
      </c>
      <c r="BD52" s="24">
        <f t="shared" si="56"/>
        <v>0</v>
      </c>
      <c r="BE52" s="24">
        <f t="shared" si="56"/>
        <v>0</v>
      </c>
      <c r="BF52" s="24">
        <f t="shared" si="56"/>
        <v>0</v>
      </c>
      <c r="BG52" s="24">
        <f t="shared" si="63"/>
        <v>0</v>
      </c>
      <c r="BH52" s="24">
        <f t="shared" si="56"/>
        <v>0</v>
      </c>
      <c r="BI52" s="24">
        <f t="shared" si="56"/>
        <v>0</v>
      </c>
      <c r="BJ52" s="24">
        <f t="shared" si="56"/>
        <v>0</v>
      </c>
      <c r="BK52" s="24">
        <f>+T52-AP52</f>
        <v>0</v>
      </c>
      <c r="BL52" s="24">
        <f t="shared" si="56"/>
        <v>366864</v>
      </c>
      <c r="BM52" s="24">
        <f t="shared" si="56"/>
        <v>0</v>
      </c>
      <c r="BN52" s="24"/>
      <c r="BO52" s="24"/>
      <c r="BP52" s="24">
        <f t="shared" si="57"/>
        <v>0</v>
      </c>
      <c r="BQ52" s="24">
        <f t="shared" si="58"/>
        <v>0</v>
      </c>
      <c r="BR52" s="25">
        <f t="shared" si="10"/>
        <v>0.96162207777777775</v>
      </c>
      <c r="BS52" s="24">
        <f t="shared" si="39"/>
        <v>86545987</v>
      </c>
      <c r="BT52" s="24"/>
      <c r="BU52" s="24"/>
      <c r="BV52" s="24">
        <f>+'[4]DICIEMBRE 2016'!$M$3163</f>
        <v>18177642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+'[4]DICIEMBRE 2016'!$Y$3163</f>
        <v>68368345</v>
      </c>
      <c r="CI52" s="24"/>
      <c r="CJ52" s="24"/>
      <c r="CK52" s="24"/>
      <c r="CL52" s="24"/>
      <c r="CM52" s="24"/>
      <c r="CN52" s="25">
        <f t="shared" si="12"/>
        <v>3.8377922222222249E-2</v>
      </c>
      <c r="CO52" s="24">
        <f t="shared" si="40"/>
        <v>3454013</v>
      </c>
      <c r="CP52" s="24">
        <f t="shared" si="49"/>
        <v>0</v>
      </c>
      <c r="CQ52" s="24">
        <f t="shared" si="49"/>
        <v>3087149</v>
      </c>
      <c r="CR52" s="24">
        <f t="shared" si="49"/>
        <v>0</v>
      </c>
      <c r="CS52" s="24">
        <f t="shared" si="49"/>
        <v>0</v>
      </c>
      <c r="CT52" s="24">
        <f t="shared" si="49"/>
        <v>0</v>
      </c>
      <c r="CU52" s="24">
        <f t="shared" si="49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5"/>
        <v>0</v>
      </c>
      <c r="CZ52" s="24">
        <f t="shared" si="65"/>
        <v>0</v>
      </c>
      <c r="DA52" s="24">
        <f t="shared" si="65"/>
        <v>0</v>
      </c>
      <c r="DB52" s="24">
        <f>+T52-CG52</f>
        <v>0</v>
      </c>
      <c r="DC52" s="24">
        <f>+U52-CH52</f>
        <v>366864</v>
      </c>
      <c r="DD52" s="24">
        <f>+V52-CI52</f>
        <v>0</v>
      </c>
      <c r="DE52" s="24"/>
      <c r="DF52" s="24">
        <f>+X52-CK52</f>
        <v>0</v>
      </c>
      <c r="DG52" s="24">
        <f t="shared" si="64"/>
        <v>0</v>
      </c>
      <c r="DH52" s="24">
        <f>+Z52-CM52</f>
        <v>0</v>
      </c>
      <c r="DI52" s="43"/>
      <c r="DJ52" s="29">
        <f t="shared" si="19"/>
        <v>90000000</v>
      </c>
      <c r="DK52" s="29">
        <f t="shared" si="20"/>
        <v>90000000</v>
      </c>
      <c r="DL52" s="29">
        <f t="shared" si="21"/>
        <v>90000000</v>
      </c>
    </row>
    <row r="53" spans="1:116" ht="21.75" customHeight="1" x14ac:dyDescent="0.25">
      <c r="A53" s="246"/>
      <c r="B53" s="241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4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1</v>
      </c>
      <c r="AB53" s="24">
        <f t="shared" si="35"/>
        <v>5060373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+'[5]NOVIEMBRE 2016'!$AG$3040</f>
        <v>5060373</v>
      </c>
      <c r="AW53" s="25">
        <f t="shared" si="3"/>
        <v>0</v>
      </c>
      <c r="AX53" s="24">
        <f t="shared" si="36"/>
        <v>0</v>
      </c>
      <c r="AY53" s="24">
        <f t="shared" si="46"/>
        <v>0</v>
      </c>
      <c r="AZ53" s="24">
        <f t="shared" si="46"/>
        <v>0</v>
      </c>
      <c r="BA53" s="24">
        <f t="shared" si="46"/>
        <v>0</v>
      </c>
      <c r="BB53" s="24">
        <f t="shared" si="56"/>
        <v>0</v>
      </c>
      <c r="BC53" s="24">
        <f t="shared" si="56"/>
        <v>0</v>
      </c>
      <c r="BD53" s="24">
        <f t="shared" si="56"/>
        <v>0</v>
      </c>
      <c r="BE53" s="24">
        <f t="shared" si="56"/>
        <v>0</v>
      </c>
      <c r="BF53" s="24">
        <f t="shared" si="56"/>
        <v>0</v>
      </c>
      <c r="BG53" s="24">
        <f t="shared" si="63"/>
        <v>0</v>
      </c>
      <c r="BH53" s="24">
        <f t="shared" si="56"/>
        <v>0</v>
      </c>
      <c r="BI53" s="24">
        <f t="shared" si="56"/>
        <v>0</v>
      </c>
      <c r="BJ53" s="24">
        <f t="shared" si="56"/>
        <v>0</v>
      </c>
      <c r="BK53" s="24"/>
      <c r="BL53" s="24">
        <f t="shared" si="56"/>
        <v>0</v>
      </c>
      <c r="BM53" s="24">
        <f t="shared" si="56"/>
        <v>0</v>
      </c>
      <c r="BN53" s="24"/>
      <c r="BO53" s="24"/>
      <c r="BP53" s="24">
        <f t="shared" si="57"/>
        <v>0</v>
      </c>
      <c r="BQ53" s="24">
        <f t="shared" si="58"/>
        <v>0</v>
      </c>
      <c r="BR53" s="25">
        <f t="shared" si="10"/>
        <v>1</v>
      </c>
      <c r="BS53" s="24">
        <f t="shared" si="39"/>
        <v>5060373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+'[5]NOVIEMBRE 2016'!$H$3038</f>
        <v>5060373</v>
      </c>
      <c r="CN53" s="25">
        <f t="shared" si="12"/>
        <v>0</v>
      </c>
      <c r="CO53" s="24">
        <f t="shared" si="40"/>
        <v>0</v>
      </c>
      <c r="CP53" s="24">
        <f t="shared" si="49"/>
        <v>0</v>
      </c>
      <c r="CQ53" s="24">
        <f t="shared" si="49"/>
        <v>0</v>
      </c>
      <c r="CR53" s="24">
        <f t="shared" si="49"/>
        <v>0</v>
      </c>
      <c r="CS53" s="24">
        <f t="shared" si="49"/>
        <v>0</v>
      </c>
      <c r="CT53" s="24">
        <f t="shared" si="49"/>
        <v>0</v>
      </c>
      <c r="CU53" s="24">
        <f t="shared" si="49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5"/>
        <v>0</v>
      </c>
      <c r="CZ53" s="24">
        <f t="shared" si="65"/>
        <v>0</v>
      </c>
      <c r="DA53" s="24">
        <f t="shared" si="65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4"/>
        <v>0</v>
      </c>
      <c r="DH53" s="24">
        <f>Z53-CM53</f>
        <v>0</v>
      </c>
      <c r="DI53" s="43"/>
      <c r="DJ53" s="29">
        <f t="shared" si="19"/>
        <v>5060373</v>
      </c>
      <c r="DK53" s="29">
        <f t="shared" si="20"/>
        <v>5060373</v>
      </c>
      <c r="DL53" s="29">
        <f t="shared" si="21"/>
        <v>5060373</v>
      </c>
    </row>
    <row r="54" spans="1:116" ht="51.75" customHeight="1" x14ac:dyDescent="0.25">
      <c r="A54" s="246"/>
      <c r="B54" s="239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>SUM(H54:Z54)</f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0.99857790476190478</v>
      </c>
      <c r="AB54" s="24">
        <f t="shared" si="35"/>
        <v>41940272</v>
      </c>
      <c r="AC54" s="24"/>
      <c r="AD54" s="24"/>
      <c r="AE54" s="24">
        <f>+'[2]DICIEMBRE 2016'!$M$3207</f>
        <v>29940272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+'[9]AGOSTO 2016'!$AG$2028</f>
        <v>12000000</v>
      </c>
      <c r="AW54" s="25">
        <f t="shared" si="3"/>
        <v>1.4220952380952223E-3</v>
      </c>
      <c r="AX54" s="24">
        <f t="shared" si="36"/>
        <v>59728</v>
      </c>
      <c r="AY54" s="24">
        <f t="shared" si="46"/>
        <v>0</v>
      </c>
      <c r="AZ54" s="24">
        <f t="shared" si="46"/>
        <v>59728</v>
      </c>
      <c r="BA54" s="24">
        <f t="shared" si="46"/>
        <v>0</v>
      </c>
      <c r="BB54" s="24">
        <f t="shared" si="56"/>
        <v>0</v>
      </c>
      <c r="BC54" s="24">
        <f t="shared" si="56"/>
        <v>0</v>
      </c>
      <c r="BD54" s="24">
        <f t="shared" si="56"/>
        <v>0</v>
      </c>
      <c r="BE54" s="24">
        <f t="shared" si="56"/>
        <v>0</v>
      </c>
      <c r="BF54" s="24">
        <f t="shared" si="56"/>
        <v>0</v>
      </c>
      <c r="BG54" s="24">
        <f t="shared" si="63"/>
        <v>0</v>
      </c>
      <c r="BH54" s="24">
        <f t="shared" si="56"/>
        <v>0</v>
      </c>
      <c r="BI54" s="24">
        <f t="shared" si="56"/>
        <v>0</v>
      </c>
      <c r="BJ54" s="24">
        <f t="shared" si="56"/>
        <v>0</v>
      </c>
      <c r="BK54" s="24">
        <f t="shared" si="56"/>
        <v>0</v>
      </c>
      <c r="BL54" s="24">
        <f t="shared" si="56"/>
        <v>0</v>
      </c>
      <c r="BM54" s="24">
        <f t="shared" si="56"/>
        <v>0</v>
      </c>
      <c r="BN54" s="24"/>
      <c r="BO54" s="24"/>
      <c r="BP54" s="24">
        <f t="shared" si="57"/>
        <v>0</v>
      </c>
      <c r="BQ54" s="24">
        <f t="shared" si="58"/>
        <v>0</v>
      </c>
      <c r="BR54" s="25">
        <f t="shared" si="10"/>
        <v>0.99857790476190478</v>
      </c>
      <c r="BS54" s="24">
        <f t="shared" si="39"/>
        <v>41940272</v>
      </c>
      <c r="BT54" s="24"/>
      <c r="BU54" s="24"/>
      <c r="BV54" s="24">
        <f>+'[10]SEPTIEMBRE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+'[10]SEPTIEMBRE 2016'!$H$2462+'[10]SEPTIEMBRE 2016'!$H$2464+'[10]SEPTIEMBRE 2016'!$H$2466+'[10]SEPTIEMBRE 2016'!$H$2407</f>
        <v>12000000</v>
      </c>
      <c r="CN54" s="25">
        <f t="shared" si="12"/>
        <v>1.4220952380952223E-3</v>
      </c>
      <c r="CO54" s="24">
        <f t="shared" si="40"/>
        <v>59728</v>
      </c>
      <c r="CP54" s="24">
        <f t="shared" si="49"/>
        <v>0</v>
      </c>
      <c r="CQ54" s="24">
        <f t="shared" si="49"/>
        <v>59728</v>
      </c>
      <c r="CR54" s="24">
        <f t="shared" si="49"/>
        <v>0</v>
      </c>
      <c r="CS54" s="24">
        <f t="shared" si="49"/>
        <v>0</v>
      </c>
      <c r="CT54" s="24">
        <f t="shared" si="49"/>
        <v>0</v>
      </c>
      <c r="CU54" s="24">
        <f t="shared" si="49"/>
        <v>0</v>
      </c>
      <c r="CV54" s="24">
        <f t="shared" ref="CV54:CW59" si="66">+N54-CA54</f>
        <v>0</v>
      </c>
      <c r="CW54" s="24">
        <f t="shared" si="66"/>
        <v>0</v>
      </c>
      <c r="CX54" s="24">
        <f t="shared" ref="CX54:CX59" si="67">P54-CC54</f>
        <v>0</v>
      </c>
      <c r="CY54" s="24">
        <f t="shared" si="65"/>
        <v>0</v>
      </c>
      <c r="CZ54" s="24">
        <f t="shared" si="65"/>
        <v>0</v>
      </c>
      <c r="DA54" s="24">
        <f t="shared" si="65"/>
        <v>0</v>
      </c>
      <c r="DB54" s="24">
        <f t="shared" ref="DB54:DD59" si="68">+T54-CG54</f>
        <v>0</v>
      </c>
      <c r="DC54" s="24">
        <f t="shared" si="68"/>
        <v>0</v>
      </c>
      <c r="DD54" s="24">
        <f t="shared" si="68"/>
        <v>0</v>
      </c>
      <c r="DE54" s="24"/>
      <c r="DF54" s="24">
        <f t="shared" ref="DF54:DF59" si="69">+X54-CK54</f>
        <v>0</v>
      </c>
      <c r="DG54" s="24">
        <f t="shared" si="64"/>
        <v>0</v>
      </c>
      <c r="DH54" s="24">
        <f t="shared" ref="DH54:DH59" si="70">+Z54-CM54</f>
        <v>0</v>
      </c>
      <c r="DJ54" s="29">
        <f t="shared" si="19"/>
        <v>42000000</v>
      </c>
      <c r="DK54" s="29">
        <f t="shared" si="20"/>
        <v>42000000</v>
      </c>
      <c r="DL54" s="29">
        <f t="shared" si="21"/>
        <v>42000000</v>
      </c>
    </row>
    <row r="55" spans="1:116" ht="37.5" customHeight="1" x14ac:dyDescent="0.25">
      <c r="A55" s="246"/>
      <c r="B55" s="240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4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0.9553836</v>
      </c>
      <c r="AB55" s="24">
        <f t="shared" si="35"/>
        <v>9553836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f>+'[2]DICIEMBRE 2016'!$Y$3272</f>
        <v>9553836</v>
      </c>
      <c r="AR55" s="24"/>
      <c r="AS55" s="24"/>
      <c r="AT55" s="24"/>
      <c r="AU55" s="24"/>
      <c r="AV55" s="24"/>
      <c r="AW55" s="25">
        <f t="shared" si="3"/>
        <v>4.4616400000000001E-2</v>
      </c>
      <c r="AX55" s="24">
        <f t="shared" si="36"/>
        <v>446164</v>
      </c>
      <c r="AY55" s="24">
        <f t="shared" si="46"/>
        <v>0</v>
      </c>
      <c r="AZ55" s="24">
        <f t="shared" si="46"/>
        <v>0</v>
      </c>
      <c r="BA55" s="24">
        <f t="shared" si="46"/>
        <v>0</v>
      </c>
      <c r="BB55" s="24">
        <f t="shared" ref="BB55:BF59" si="71">+K55-AG55</f>
        <v>0</v>
      </c>
      <c r="BC55" s="24">
        <f t="shared" si="71"/>
        <v>0</v>
      </c>
      <c r="BD55" s="24">
        <f t="shared" si="71"/>
        <v>0</v>
      </c>
      <c r="BE55" s="24">
        <f t="shared" si="71"/>
        <v>0</v>
      </c>
      <c r="BF55" s="24">
        <f t="shared" si="71"/>
        <v>0</v>
      </c>
      <c r="BG55" s="24">
        <f t="shared" si="63"/>
        <v>0</v>
      </c>
      <c r="BH55" s="24">
        <f t="shared" ref="BH55:BM59" si="72">+Q55-AM55</f>
        <v>0</v>
      </c>
      <c r="BI55" s="24">
        <f t="shared" si="72"/>
        <v>0</v>
      </c>
      <c r="BJ55" s="24">
        <f t="shared" si="72"/>
        <v>0</v>
      </c>
      <c r="BK55" s="24">
        <f t="shared" si="72"/>
        <v>0</v>
      </c>
      <c r="BL55" s="24">
        <f t="shared" si="72"/>
        <v>446164</v>
      </c>
      <c r="BM55" s="24">
        <f t="shared" si="72"/>
        <v>0</v>
      </c>
      <c r="BN55" s="24"/>
      <c r="BO55" s="24"/>
      <c r="BP55" s="24">
        <f t="shared" si="57"/>
        <v>0</v>
      </c>
      <c r="BQ55" s="24">
        <f t="shared" si="58"/>
        <v>0</v>
      </c>
      <c r="BR55" s="25">
        <f t="shared" si="10"/>
        <v>0.9553836</v>
      </c>
      <c r="BS55" s="24">
        <f t="shared" si="39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+'[6]FEBRERO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40"/>
        <v>446164</v>
      </c>
      <c r="CP55" s="24">
        <f t="shared" si="49"/>
        <v>0</v>
      </c>
      <c r="CQ55" s="24">
        <f t="shared" si="49"/>
        <v>0</v>
      </c>
      <c r="CR55" s="24">
        <f t="shared" si="49"/>
        <v>0</v>
      </c>
      <c r="CS55" s="24">
        <f t="shared" si="49"/>
        <v>0</v>
      </c>
      <c r="CT55" s="24">
        <f t="shared" si="49"/>
        <v>0</v>
      </c>
      <c r="CU55" s="24">
        <f t="shared" si="49"/>
        <v>0</v>
      </c>
      <c r="CV55" s="24">
        <f t="shared" si="66"/>
        <v>0</v>
      </c>
      <c r="CW55" s="24">
        <f t="shared" si="66"/>
        <v>0</v>
      </c>
      <c r="CX55" s="24">
        <f t="shared" si="67"/>
        <v>0</v>
      </c>
      <c r="CY55" s="24">
        <f t="shared" si="65"/>
        <v>0</v>
      </c>
      <c r="CZ55" s="24">
        <f t="shared" si="65"/>
        <v>0</v>
      </c>
      <c r="DA55" s="24">
        <f t="shared" si="65"/>
        <v>0</v>
      </c>
      <c r="DB55" s="24">
        <f t="shared" si="68"/>
        <v>0</v>
      </c>
      <c r="DC55" s="24">
        <f t="shared" si="68"/>
        <v>446164</v>
      </c>
      <c r="DD55" s="24">
        <f t="shared" si="68"/>
        <v>0</v>
      </c>
      <c r="DE55" s="24"/>
      <c r="DF55" s="24">
        <f t="shared" si="69"/>
        <v>0</v>
      </c>
      <c r="DG55" s="24">
        <f t="shared" si="64"/>
        <v>0</v>
      </c>
      <c r="DH55" s="24">
        <f t="shared" si="70"/>
        <v>0</v>
      </c>
      <c r="DJ55" s="29">
        <f t="shared" si="19"/>
        <v>10000000</v>
      </c>
      <c r="DK55" s="29">
        <f t="shared" si="20"/>
        <v>10000000</v>
      </c>
      <c r="DL55" s="29">
        <f t="shared" si="21"/>
        <v>10000000</v>
      </c>
    </row>
    <row r="56" spans="1:116" ht="32.25" customHeight="1" x14ac:dyDescent="0.25">
      <c r="A56" s="246"/>
      <c r="B56" s="240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4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0.99612520000000004</v>
      </c>
      <c r="AB56" s="24">
        <f t="shared" si="35"/>
        <v>29883756</v>
      </c>
      <c r="AC56" s="24"/>
      <c r="AD56" s="24"/>
      <c r="AE56" s="24">
        <f>+'[2]DICIEMBRE 2016'!$M$3281</f>
        <v>11715660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3.8747999999999561E-3</v>
      </c>
      <c r="AX56" s="24">
        <f t="shared" si="36"/>
        <v>116244</v>
      </c>
      <c r="AY56" s="24">
        <f t="shared" si="46"/>
        <v>0</v>
      </c>
      <c r="AZ56" s="24">
        <f t="shared" si="46"/>
        <v>116244</v>
      </c>
      <c r="BA56" s="24">
        <f t="shared" si="46"/>
        <v>0</v>
      </c>
      <c r="BB56" s="24">
        <f t="shared" si="71"/>
        <v>0</v>
      </c>
      <c r="BC56" s="24">
        <f t="shared" si="71"/>
        <v>0</v>
      </c>
      <c r="BD56" s="24">
        <f t="shared" si="71"/>
        <v>0</v>
      </c>
      <c r="BE56" s="24">
        <f t="shared" si="71"/>
        <v>0</v>
      </c>
      <c r="BF56" s="24">
        <f t="shared" si="71"/>
        <v>0</v>
      </c>
      <c r="BG56" s="24">
        <f t="shared" si="63"/>
        <v>0</v>
      </c>
      <c r="BH56" s="24">
        <f t="shared" si="72"/>
        <v>0</v>
      </c>
      <c r="BI56" s="24">
        <f t="shared" si="72"/>
        <v>0</v>
      </c>
      <c r="BJ56" s="24">
        <f t="shared" si="72"/>
        <v>0</v>
      </c>
      <c r="BK56" s="24">
        <f t="shared" si="72"/>
        <v>0</v>
      </c>
      <c r="BL56" s="24">
        <f t="shared" si="72"/>
        <v>0</v>
      </c>
      <c r="BM56" s="24">
        <f t="shared" si="72"/>
        <v>0</v>
      </c>
      <c r="BN56" s="24"/>
      <c r="BO56" s="24"/>
      <c r="BP56" s="24">
        <f t="shared" si="57"/>
        <v>0</v>
      </c>
      <c r="BQ56" s="24">
        <f t="shared" si="58"/>
        <v>0</v>
      </c>
      <c r="BR56" s="25">
        <f t="shared" si="10"/>
        <v>0.99612520000000004</v>
      </c>
      <c r="BS56" s="24">
        <f t="shared" si="39"/>
        <v>29883756</v>
      </c>
      <c r="BT56" s="24"/>
      <c r="BU56" s="24"/>
      <c r="BV56" s="24">
        <f>+'[10]SEPTIEMBRE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+'[6]FEBRERO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40"/>
        <v>116244</v>
      </c>
      <c r="CP56" s="24">
        <f t="shared" si="49"/>
        <v>0</v>
      </c>
      <c r="CQ56" s="24">
        <f t="shared" si="49"/>
        <v>116244</v>
      </c>
      <c r="CR56" s="24">
        <f t="shared" si="49"/>
        <v>0</v>
      </c>
      <c r="CS56" s="24">
        <f t="shared" si="49"/>
        <v>0</v>
      </c>
      <c r="CT56" s="24">
        <f t="shared" si="49"/>
        <v>0</v>
      </c>
      <c r="CU56" s="24">
        <f t="shared" si="49"/>
        <v>0</v>
      </c>
      <c r="CV56" s="24">
        <f t="shared" si="66"/>
        <v>0</v>
      </c>
      <c r="CW56" s="24">
        <f t="shared" si="66"/>
        <v>0</v>
      </c>
      <c r="CX56" s="24">
        <f t="shared" si="67"/>
        <v>0</v>
      </c>
      <c r="CY56" s="24">
        <f t="shared" si="65"/>
        <v>0</v>
      </c>
      <c r="CZ56" s="24">
        <f t="shared" si="65"/>
        <v>0</v>
      </c>
      <c r="DA56" s="24">
        <f t="shared" si="65"/>
        <v>0</v>
      </c>
      <c r="DB56" s="24">
        <f t="shared" si="68"/>
        <v>0</v>
      </c>
      <c r="DC56" s="24">
        <f t="shared" si="68"/>
        <v>0</v>
      </c>
      <c r="DD56" s="24">
        <f t="shared" si="68"/>
        <v>0</v>
      </c>
      <c r="DE56" s="24"/>
      <c r="DF56" s="24">
        <f t="shared" si="69"/>
        <v>0</v>
      </c>
      <c r="DG56" s="24">
        <f t="shared" si="64"/>
        <v>0</v>
      </c>
      <c r="DH56" s="24">
        <f t="shared" si="70"/>
        <v>0</v>
      </c>
      <c r="DJ56" s="29">
        <f t="shared" si="19"/>
        <v>30000000</v>
      </c>
      <c r="DK56" s="29">
        <f t="shared" si="20"/>
        <v>30000000</v>
      </c>
      <c r="DL56" s="29">
        <f t="shared" si="21"/>
        <v>30000000</v>
      </c>
    </row>
    <row r="57" spans="1:116" ht="23.25" customHeight="1" x14ac:dyDescent="0.25">
      <c r="A57" s="246"/>
      <c r="B57" s="240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4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5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+'[3]ENERO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6"/>
        <v>0</v>
      </c>
      <c r="AY57" s="24">
        <f t="shared" si="46"/>
        <v>0</v>
      </c>
      <c r="AZ57" s="24">
        <f t="shared" si="46"/>
        <v>0</v>
      </c>
      <c r="BA57" s="24">
        <f t="shared" si="46"/>
        <v>0</v>
      </c>
      <c r="BB57" s="24">
        <f t="shared" si="71"/>
        <v>0</v>
      </c>
      <c r="BC57" s="24">
        <f t="shared" si="71"/>
        <v>0</v>
      </c>
      <c r="BD57" s="24">
        <f t="shared" si="71"/>
        <v>0</v>
      </c>
      <c r="BE57" s="24">
        <f t="shared" si="71"/>
        <v>0</v>
      </c>
      <c r="BF57" s="24">
        <f t="shared" si="71"/>
        <v>0</v>
      </c>
      <c r="BG57" s="24">
        <f t="shared" si="63"/>
        <v>0</v>
      </c>
      <c r="BH57" s="24">
        <f t="shared" si="72"/>
        <v>0</v>
      </c>
      <c r="BI57" s="24">
        <f t="shared" si="72"/>
        <v>0</v>
      </c>
      <c r="BJ57" s="24">
        <f t="shared" si="72"/>
        <v>0</v>
      </c>
      <c r="BK57" s="24">
        <f t="shared" si="72"/>
        <v>0</v>
      </c>
      <c r="BL57" s="24">
        <f t="shared" si="72"/>
        <v>0</v>
      </c>
      <c r="BM57" s="24">
        <f t="shared" si="72"/>
        <v>0</v>
      </c>
      <c r="BN57" s="24"/>
      <c r="BO57" s="24"/>
      <c r="BP57" s="24">
        <f t="shared" si="57"/>
        <v>0</v>
      </c>
      <c r="BQ57" s="24">
        <f t="shared" si="58"/>
        <v>0</v>
      </c>
      <c r="BR57" s="25">
        <f t="shared" si="10"/>
        <v>1</v>
      </c>
      <c r="BS57" s="24">
        <f t="shared" si="39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40"/>
        <v>0</v>
      </c>
      <c r="CP57" s="24">
        <f t="shared" si="49"/>
        <v>0</v>
      </c>
      <c r="CQ57" s="24">
        <f t="shared" si="49"/>
        <v>0</v>
      </c>
      <c r="CR57" s="24">
        <f t="shared" si="49"/>
        <v>0</v>
      </c>
      <c r="CS57" s="24">
        <f t="shared" si="49"/>
        <v>0</v>
      </c>
      <c r="CT57" s="24">
        <f t="shared" si="49"/>
        <v>0</v>
      </c>
      <c r="CU57" s="24">
        <f t="shared" si="49"/>
        <v>0</v>
      </c>
      <c r="CV57" s="24">
        <f t="shared" si="66"/>
        <v>0</v>
      </c>
      <c r="CW57" s="24">
        <f t="shared" si="66"/>
        <v>0</v>
      </c>
      <c r="CX57" s="24">
        <f t="shared" si="67"/>
        <v>0</v>
      </c>
      <c r="CY57" s="24">
        <f t="shared" si="65"/>
        <v>0</v>
      </c>
      <c r="CZ57" s="24">
        <f t="shared" si="65"/>
        <v>0</v>
      </c>
      <c r="DA57" s="24">
        <f t="shared" si="65"/>
        <v>0</v>
      </c>
      <c r="DB57" s="24">
        <f t="shared" si="68"/>
        <v>0</v>
      </c>
      <c r="DC57" s="24">
        <f t="shared" si="68"/>
        <v>0</v>
      </c>
      <c r="DD57" s="24">
        <f t="shared" si="68"/>
        <v>0</v>
      </c>
      <c r="DE57" s="24"/>
      <c r="DF57" s="24">
        <f t="shared" si="69"/>
        <v>0</v>
      </c>
      <c r="DG57" s="24">
        <f t="shared" si="64"/>
        <v>0</v>
      </c>
      <c r="DH57" s="24">
        <f t="shared" si="70"/>
        <v>0</v>
      </c>
      <c r="DJ57" s="29">
        <f t="shared" si="19"/>
        <v>10000000</v>
      </c>
      <c r="DK57" s="29">
        <f t="shared" si="20"/>
        <v>10000000</v>
      </c>
      <c r="DL57" s="29">
        <f t="shared" si="21"/>
        <v>10000000</v>
      </c>
    </row>
    <row r="58" spans="1:116" ht="35.25" customHeight="1" x14ac:dyDescent="0.25">
      <c r="A58" s="246"/>
      <c r="B58" s="240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4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0.4457138519417605</v>
      </c>
      <c r="AB58" s="24">
        <f t="shared" si="35"/>
        <v>100750687</v>
      </c>
      <c r="AC58" s="24"/>
      <c r="AD58" s="24"/>
      <c r="AE58" s="24">
        <f>+'[2]DICIEMBRE 2016'!$M$3359</f>
        <v>22732510</v>
      </c>
      <c r="AF58" s="24"/>
      <c r="AG58" s="24"/>
      <c r="AH58" s="24">
        <f>+'[2]DICIEMBRE 2016'!$P$3359</f>
        <v>62566149</v>
      </c>
      <c r="AI58" s="24"/>
      <c r="AJ58" s="24"/>
      <c r="AK58" s="24"/>
      <c r="AL58" s="24"/>
      <c r="AM58" s="24"/>
      <c r="AN58" s="24"/>
      <c r="AO58" s="24"/>
      <c r="AP58" s="24"/>
      <c r="AQ58" s="24">
        <f>+'[2]DICIEMBRE 2016'!$Y$3359</f>
        <v>15452028</v>
      </c>
      <c r="AR58" s="24"/>
      <c r="AS58" s="24"/>
      <c r="AT58" s="24"/>
      <c r="AU58" s="24"/>
      <c r="AV58" s="24"/>
      <c r="AW58" s="25">
        <f t="shared" si="3"/>
        <v>0.5542861480582395</v>
      </c>
      <c r="AX58" s="24">
        <f t="shared" si="36"/>
        <v>125292741</v>
      </c>
      <c r="AY58" s="24">
        <f t="shared" si="46"/>
        <v>0</v>
      </c>
      <c r="AZ58" s="24">
        <f t="shared" si="46"/>
        <v>108942328</v>
      </c>
      <c r="BA58" s="24">
        <f t="shared" si="46"/>
        <v>0</v>
      </c>
      <c r="BB58" s="24">
        <f t="shared" si="71"/>
        <v>0</v>
      </c>
      <c r="BC58" s="24">
        <f t="shared" si="71"/>
        <v>11802441</v>
      </c>
      <c r="BD58" s="24">
        <f t="shared" si="71"/>
        <v>0</v>
      </c>
      <c r="BE58" s="24">
        <f t="shared" si="71"/>
        <v>0</v>
      </c>
      <c r="BF58" s="24">
        <f t="shared" si="71"/>
        <v>0</v>
      </c>
      <c r="BG58" s="24">
        <f t="shared" si="63"/>
        <v>0</v>
      </c>
      <c r="BH58" s="24">
        <f t="shared" si="72"/>
        <v>0</v>
      </c>
      <c r="BI58" s="24">
        <f t="shared" si="72"/>
        <v>0</v>
      </c>
      <c r="BJ58" s="24">
        <f t="shared" si="72"/>
        <v>0</v>
      </c>
      <c r="BK58" s="24">
        <f t="shared" si="72"/>
        <v>0</v>
      </c>
      <c r="BL58" s="24">
        <f t="shared" si="72"/>
        <v>4547972</v>
      </c>
      <c r="BM58" s="24">
        <f t="shared" si="72"/>
        <v>0</v>
      </c>
      <c r="BN58" s="24"/>
      <c r="BO58" s="24"/>
      <c r="BP58" s="24">
        <f t="shared" si="57"/>
        <v>0</v>
      </c>
      <c r="BQ58" s="24">
        <f t="shared" si="58"/>
        <v>0</v>
      </c>
      <c r="BR58" s="25">
        <f t="shared" si="10"/>
        <v>0.4457138519417605</v>
      </c>
      <c r="BS58" s="24">
        <f t="shared" si="39"/>
        <v>100750687</v>
      </c>
      <c r="BT58" s="24"/>
      <c r="BU58" s="24"/>
      <c r="BV58" s="24">
        <f>+'[4]DICIEMBRE 2016'!$M$3361</f>
        <v>22732510</v>
      </c>
      <c r="BW58" s="24"/>
      <c r="BX58" s="24"/>
      <c r="BY58" s="24">
        <f>+'[4]DICIEMBRE 2016'!$P$3361</f>
        <v>62566149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0.5542861480582395</v>
      </c>
      <c r="CO58" s="24">
        <f t="shared" si="40"/>
        <v>125292741</v>
      </c>
      <c r="CP58" s="24">
        <f t="shared" si="49"/>
        <v>0</v>
      </c>
      <c r="CQ58" s="24">
        <f t="shared" si="49"/>
        <v>108942328</v>
      </c>
      <c r="CR58" s="24">
        <f t="shared" si="49"/>
        <v>0</v>
      </c>
      <c r="CS58" s="24">
        <f t="shared" si="49"/>
        <v>0</v>
      </c>
      <c r="CT58" s="24">
        <f t="shared" si="49"/>
        <v>11802441</v>
      </c>
      <c r="CU58" s="24">
        <f t="shared" si="49"/>
        <v>0</v>
      </c>
      <c r="CV58" s="24">
        <f t="shared" si="66"/>
        <v>0</v>
      </c>
      <c r="CW58" s="24">
        <f t="shared" si="66"/>
        <v>0</v>
      </c>
      <c r="CX58" s="24">
        <f t="shared" si="67"/>
        <v>0</v>
      </c>
      <c r="CY58" s="24">
        <f t="shared" si="65"/>
        <v>0</v>
      </c>
      <c r="CZ58" s="24">
        <f t="shared" si="65"/>
        <v>0</v>
      </c>
      <c r="DA58" s="24">
        <f t="shared" si="65"/>
        <v>0</v>
      </c>
      <c r="DB58" s="24">
        <f t="shared" si="68"/>
        <v>0</v>
      </c>
      <c r="DC58" s="24">
        <f t="shared" si="68"/>
        <v>4547972</v>
      </c>
      <c r="DD58" s="24">
        <f t="shared" si="68"/>
        <v>0</v>
      </c>
      <c r="DE58" s="24"/>
      <c r="DF58" s="24">
        <f t="shared" si="69"/>
        <v>0</v>
      </c>
      <c r="DG58" s="24">
        <f t="shared" si="64"/>
        <v>0</v>
      </c>
      <c r="DH58" s="24">
        <f t="shared" si="70"/>
        <v>0</v>
      </c>
      <c r="DJ58" s="29">
        <f t="shared" si="19"/>
        <v>226043428</v>
      </c>
      <c r="DK58" s="29">
        <f t="shared" si="20"/>
        <v>226043428</v>
      </c>
      <c r="DL58" s="29">
        <f t="shared" si="21"/>
        <v>226043428</v>
      </c>
    </row>
    <row r="59" spans="1:116" ht="34.5" customHeight="1" x14ac:dyDescent="0.25">
      <c r="A59" s="247"/>
      <c r="B59" s="241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4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5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+'[12]MARZO 2016 ULTIMO'!$AF$846</f>
        <v>16000000</v>
      </c>
      <c r="AW59" s="25">
        <f t="shared" si="3"/>
        <v>0</v>
      </c>
      <c r="AX59" s="24">
        <f t="shared" si="36"/>
        <v>0</v>
      </c>
      <c r="AY59" s="24">
        <f t="shared" si="46"/>
        <v>0</v>
      </c>
      <c r="AZ59" s="24">
        <f t="shared" si="46"/>
        <v>0</v>
      </c>
      <c r="BA59" s="24">
        <f t="shared" si="46"/>
        <v>0</v>
      </c>
      <c r="BB59" s="24">
        <f t="shared" si="71"/>
        <v>0</v>
      </c>
      <c r="BC59" s="24">
        <f t="shared" si="71"/>
        <v>0</v>
      </c>
      <c r="BD59" s="24">
        <f t="shared" si="71"/>
        <v>0</v>
      </c>
      <c r="BE59" s="24">
        <f t="shared" si="71"/>
        <v>0</v>
      </c>
      <c r="BF59" s="24">
        <f t="shared" si="71"/>
        <v>0</v>
      </c>
      <c r="BG59" s="24">
        <f t="shared" si="63"/>
        <v>0</v>
      </c>
      <c r="BH59" s="24">
        <f t="shared" si="72"/>
        <v>0</v>
      </c>
      <c r="BI59" s="24">
        <f t="shared" si="72"/>
        <v>0</v>
      </c>
      <c r="BJ59" s="24">
        <f t="shared" si="72"/>
        <v>0</v>
      </c>
      <c r="BK59" s="24">
        <f t="shared" si="72"/>
        <v>0</v>
      </c>
      <c r="BL59" s="24">
        <f t="shared" si="72"/>
        <v>0</v>
      </c>
      <c r="BM59" s="24">
        <f t="shared" si="72"/>
        <v>0</v>
      </c>
      <c r="BN59" s="24"/>
      <c r="BO59" s="24"/>
      <c r="BP59" s="24">
        <f t="shared" si="57"/>
        <v>0</v>
      </c>
      <c r="BQ59" s="24">
        <f t="shared" si="58"/>
        <v>0</v>
      </c>
      <c r="BR59" s="25">
        <f t="shared" si="10"/>
        <v>1</v>
      </c>
      <c r="BS59" s="24">
        <f t="shared" si="39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40"/>
        <v>0</v>
      </c>
      <c r="CP59" s="24">
        <f t="shared" si="49"/>
        <v>0</v>
      </c>
      <c r="CQ59" s="24">
        <f t="shared" si="49"/>
        <v>0</v>
      </c>
      <c r="CR59" s="24">
        <f t="shared" si="49"/>
        <v>0</v>
      </c>
      <c r="CS59" s="24">
        <f t="shared" si="49"/>
        <v>0</v>
      </c>
      <c r="CT59" s="24">
        <f t="shared" si="49"/>
        <v>0</v>
      </c>
      <c r="CU59" s="24">
        <f t="shared" si="49"/>
        <v>0</v>
      </c>
      <c r="CV59" s="24">
        <f t="shared" si="66"/>
        <v>0</v>
      </c>
      <c r="CW59" s="24">
        <f t="shared" si="66"/>
        <v>0</v>
      </c>
      <c r="CX59" s="24">
        <f t="shared" si="67"/>
        <v>0</v>
      </c>
      <c r="CY59" s="24">
        <f t="shared" si="65"/>
        <v>0</v>
      </c>
      <c r="CZ59" s="24">
        <f t="shared" si="65"/>
        <v>0</v>
      </c>
      <c r="DA59" s="24">
        <f t="shared" si="65"/>
        <v>0</v>
      </c>
      <c r="DB59" s="24">
        <f t="shared" si="68"/>
        <v>0</v>
      </c>
      <c r="DC59" s="24">
        <f t="shared" si="68"/>
        <v>0</v>
      </c>
      <c r="DD59" s="24">
        <f t="shared" si="68"/>
        <v>0</v>
      </c>
      <c r="DE59" s="24"/>
      <c r="DF59" s="24">
        <f t="shared" si="69"/>
        <v>0</v>
      </c>
      <c r="DG59" s="24">
        <f t="shared" si="64"/>
        <v>0</v>
      </c>
      <c r="DH59" s="24">
        <f t="shared" si="70"/>
        <v>0</v>
      </c>
      <c r="DJ59" s="29">
        <f t="shared" si="19"/>
        <v>16000000</v>
      </c>
      <c r="DK59" s="29">
        <f t="shared" si="20"/>
        <v>16000000</v>
      </c>
      <c r="DL59" s="29">
        <f t="shared" si="21"/>
        <v>16000000</v>
      </c>
    </row>
    <row r="60" spans="1:116" s="43" customFormat="1" ht="18" customHeight="1" thickBot="1" x14ac:dyDescent="0.3">
      <c r="A60" s="59"/>
      <c r="B60" s="248" t="s">
        <v>182</v>
      </c>
      <c r="C60" s="248"/>
      <c r="D60" s="248"/>
      <c r="E60" s="248"/>
      <c r="F60" s="60"/>
      <c r="G60" s="61">
        <f t="shared" ref="G60:Z60" si="73">SUM(G21:G59)</f>
        <v>6304612321</v>
      </c>
      <c r="H60" s="61">
        <f t="shared" si="73"/>
        <v>0</v>
      </c>
      <c r="I60" s="61">
        <f t="shared" si="73"/>
        <v>2263096695</v>
      </c>
      <c r="J60" s="61">
        <f t="shared" si="73"/>
        <v>0</v>
      </c>
      <c r="K60" s="61">
        <f t="shared" si="73"/>
        <v>0</v>
      </c>
      <c r="L60" s="61">
        <f t="shared" si="73"/>
        <v>74368590</v>
      </c>
      <c r="M60" s="61">
        <f t="shared" si="73"/>
        <v>0</v>
      </c>
      <c r="N60" s="61">
        <f t="shared" si="73"/>
        <v>0</v>
      </c>
      <c r="O60" s="61">
        <f t="shared" si="73"/>
        <v>0</v>
      </c>
      <c r="P60" s="61">
        <f t="shared" si="73"/>
        <v>0</v>
      </c>
      <c r="Q60" s="61">
        <f t="shared" si="73"/>
        <v>0</v>
      </c>
      <c r="R60" s="61">
        <f t="shared" si="73"/>
        <v>2107644065</v>
      </c>
      <c r="S60" s="61">
        <f t="shared" si="73"/>
        <v>387696735</v>
      </c>
      <c r="T60" s="61">
        <f t="shared" si="73"/>
        <v>0</v>
      </c>
      <c r="U60" s="61">
        <f t="shared" si="73"/>
        <v>1054833768</v>
      </c>
      <c r="V60" s="61">
        <f t="shared" si="73"/>
        <v>0</v>
      </c>
      <c r="W60" s="61">
        <f t="shared" si="73"/>
        <v>101970259</v>
      </c>
      <c r="X60" s="61">
        <f t="shared" si="73"/>
        <v>0</v>
      </c>
      <c r="Y60" s="61">
        <f t="shared" si="73"/>
        <v>204741836</v>
      </c>
      <c r="Z60" s="61">
        <f t="shared" si="73"/>
        <v>110260373</v>
      </c>
      <c r="AA60" s="39">
        <f t="shared" si="1"/>
        <v>0.86761253658375426</v>
      </c>
      <c r="AB60" s="61">
        <f>SUM(AB21:AB59)</f>
        <v>5469960688</v>
      </c>
      <c r="AC60" s="61"/>
      <c r="AD60" s="61">
        <f t="shared" ref="AD60:AV60" si="74">SUM(AD21:AD59)</f>
        <v>0</v>
      </c>
      <c r="AE60" s="61">
        <f t="shared" si="74"/>
        <v>2041432876</v>
      </c>
      <c r="AF60" s="61">
        <f t="shared" si="74"/>
        <v>0</v>
      </c>
      <c r="AG60" s="61">
        <f t="shared" si="74"/>
        <v>0</v>
      </c>
      <c r="AH60" s="61">
        <f t="shared" si="74"/>
        <v>62566149</v>
      </c>
      <c r="AI60" s="61">
        <f t="shared" si="74"/>
        <v>0</v>
      </c>
      <c r="AJ60" s="61">
        <f t="shared" si="74"/>
        <v>0</v>
      </c>
      <c r="AK60" s="61">
        <f t="shared" si="74"/>
        <v>0</v>
      </c>
      <c r="AL60" s="61">
        <f t="shared" si="74"/>
        <v>0</v>
      </c>
      <c r="AM60" s="61">
        <f t="shared" si="74"/>
        <v>0</v>
      </c>
      <c r="AN60" s="61">
        <f t="shared" si="74"/>
        <v>1702567793</v>
      </c>
      <c r="AO60" s="61">
        <f t="shared" si="74"/>
        <v>385950453</v>
      </c>
      <c r="AP60" s="61">
        <f t="shared" si="74"/>
        <v>0</v>
      </c>
      <c r="AQ60" s="61">
        <f t="shared" si="74"/>
        <v>988088149</v>
      </c>
      <c r="AR60" s="61">
        <f t="shared" si="74"/>
        <v>0</v>
      </c>
      <c r="AS60" s="61">
        <f t="shared" si="74"/>
        <v>85302101</v>
      </c>
      <c r="AT60" s="61">
        <f t="shared" si="74"/>
        <v>0</v>
      </c>
      <c r="AU60" s="61">
        <f t="shared" si="74"/>
        <v>111779461</v>
      </c>
      <c r="AV60" s="61">
        <f t="shared" si="74"/>
        <v>92273706</v>
      </c>
      <c r="AW60" s="39">
        <f t="shared" si="3"/>
        <v>0.13238746341624574</v>
      </c>
      <c r="AX60" s="61">
        <f t="shared" ref="AX60:BQ60" si="75">SUM(AX21:AX59)</f>
        <v>834651633</v>
      </c>
      <c r="AY60" s="61">
        <f t="shared" si="75"/>
        <v>0</v>
      </c>
      <c r="AZ60" s="61">
        <f t="shared" si="75"/>
        <v>221663819</v>
      </c>
      <c r="BA60" s="61">
        <f t="shared" si="75"/>
        <v>0</v>
      </c>
      <c r="BB60" s="61">
        <f t="shared" si="75"/>
        <v>0</v>
      </c>
      <c r="BC60" s="61">
        <f t="shared" si="75"/>
        <v>11802441</v>
      </c>
      <c r="BD60" s="61">
        <f t="shared" si="75"/>
        <v>0</v>
      </c>
      <c r="BE60" s="61">
        <f t="shared" si="75"/>
        <v>0</v>
      </c>
      <c r="BF60" s="61">
        <f t="shared" si="75"/>
        <v>0</v>
      </c>
      <c r="BG60" s="61">
        <f t="shared" si="75"/>
        <v>0</v>
      </c>
      <c r="BH60" s="61">
        <f t="shared" si="75"/>
        <v>0</v>
      </c>
      <c r="BI60" s="61">
        <f t="shared" si="75"/>
        <v>405076272</v>
      </c>
      <c r="BJ60" s="61">
        <f t="shared" si="75"/>
        <v>1746282</v>
      </c>
      <c r="BK60" s="61">
        <f t="shared" si="75"/>
        <v>0</v>
      </c>
      <c r="BL60" s="61">
        <f t="shared" si="75"/>
        <v>66745619</v>
      </c>
      <c r="BM60" s="61">
        <f t="shared" si="75"/>
        <v>0</v>
      </c>
      <c r="BN60" s="61">
        <f t="shared" si="75"/>
        <v>16668158</v>
      </c>
      <c r="BO60" s="61">
        <f t="shared" si="75"/>
        <v>0</v>
      </c>
      <c r="BP60" s="61">
        <f t="shared" si="75"/>
        <v>92962375</v>
      </c>
      <c r="BQ60" s="61">
        <f t="shared" si="75"/>
        <v>17986667</v>
      </c>
      <c r="BR60" s="39">
        <f t="shared" si="10"/>
        <v>0.86761253658375426</v>
      </c>
      <c r="BS60" s="61">
        <f t="shared" ref="BS60:DH60" si="76">SUM(BS21:BS59)</f>
        <v>5469960688</v>
      </c>
      <c r="BT60" s="61">
        <f t="shared" si="76"/>
        <v>0</v>
      </c>
      <c r="BU60" s="61">
        <f t="shared" si="76"/>
        <v>0</v>
      </c>
      <c r="BV60" s="61">
        <f t="shared" si="76"/>
        <v>2041432876</v>
      </c>
      <c r="BW60" s="61">
        <f t="shared" si="76"/>
        <v>0</v>
      </c>
      <c r="BX60" s="61">
        <f t="shared" si="76"/>
        <v>0</v>
      </c>
      <c r="BY60" s="61">
        <f t="shared" si="76"/>
        <v>62566149</v>
      </c>
      <c r="BZ60" s="61">
        <f t="shared" si="76"/>
        <v>0</v>
      </c>
      <c r="CA60" s="61">
        <f t="shared" si="76"/>
        <v>0</v>
      </c>
      <c r="CB60" s="61">
        <f t="shared" si="76"/>
        <v>0</v>
      </c>
      <c r="CC60" s="61">
        <f t="shared" si="76"/>
        <v>0</v>
      </c>
      <c r="CD60" s="61">
        <f t="shared" si="76"/>
        <v>0</v>
      </c>
      <c r="CE60" s="61">
        <f t="shared" si="76"/>
        <v>1702567793</v>
      </c>
      <c r="CF60" s="61">
        <f t="shared" si="76"/>
        <v>385950453</v>
      </c>
      <c r="CG60" s="61">
        <f t="shared" si="76"/>
        <v>0</v>
      </c>
      <c r="CH60" s="61">
        <f t="shared" si="76"/>
        <v>988088149</v>
      </c>
      <c r="CI60" s="61">
        <f t="shared" si="76"/>
        <v>0</v>
      </c>
      <c r="CJ60" s="61">
        <f t="shared" si="76"/>
        <v>85302101</v>
      </c>
      <c r="CK60" s="61">
        <f t="shared" si="76"/>
        <v>0</v>
      </c>
      <c r="CL60" s="61">
        <f t="shared" si="76"/>
        <v>111779461</v>
      </c>
      <c r="CM60" s="61">
        <f t="shared" si="76"/>
        <v>92273706</v>
      </c>
      <c r="CN60" s="39">
        <f t="shared" si="12"/>
        <v>0.13238746341624574</v>
      </c>
      <c r="CO60" s="61">
        <f t="shared" si="76"/>
        <v>834651633</v>
      </c>
      <c r="CP60" s="61">
        <f t="shared" si="76"/>
        <v>0</v>
      </c>
      <c r="CQ60" s="61">
        <f t="shared" si="76"/>
        <v>221663819</v>
      </c>
      <c r="CR60" s="61">
        <f t="shared" si="76"/>
        <v>0</v>
      </c>
      <c r="CS60" s="61">
        <f t="shared" si="76"/>
        <v>0</v>
      </c>
      <c r="CT60" s="61">
        <f t="shared" si="76"/>
        <v>11802441</v>
      </c>
      <c r="CU60" s="61">
        <f t="shared" si="76"/>
        <v>0</v>
      </c>
      <c r="CV60" s="61">
        <f t="shared" si="76"/>
        <v>0</v>
      </c>
      <c r="CW60" s="61">
        <f t="shared" si="76"/>
        <v>0</v>
      </c>
      <c r="CX60" s="61">
        <f t="shared" si="76"/>
        <v>0</v>
      </c>
      <c r="CY60" s="61">
        <f t="shared" si="76"/>
        <v>0</v>
      </c>
      <c r="CZ60" s="61">
        <f t="shared" si="76"/>
        <v>405076272</v>
      </c>
      <c r="DA60" s="61">
        <f t="shared" si="76"/>
        <v>1746282</v>
      </c>
      <c r="DB60" s="61">
        <f t="shared" si="76"/>
        <v>0</v>
      </c>
      <c r="DC60" s="61">
        <f t="shared" si="76"/>
        <v>66745619</v>
      </c>
      <c r="DD60" s="61">
        <f t="shared" si="76"/>
        <v>0</v>
      </c>
      <c r="DE60" s="61">
        <f t="shared" si="76"/>
        <v>16668158</v>
      </c>
      <c r="DF60" s="61">
        <f t="shared" si="76"/>
        <v>0</v>
      </c>
      <c r="DG60" s="61">
        <f t="shared" si="76"/>
        <v>92962375</v>
      </c>
      <c r="DH60" s="62">
        <f t="shared" si="76"/>
        <v>17986667</v>
      </c>
      <c r="DJ60" s="29">
        <f t="shared" si="19"/>
        <v>6304612321</v>
      </c>
      <c r="DK60" s="29">
        <f t="shared" si="20"/>
        <v>6304612321</v>
      </c>
      <c r="DL60" s="29">
        <f t="shared" si="21"/>
        <v>6304612321</v>
      </c>
    </row>
    <row r="61" spans="1:116" ht="63" customHeight="1" thickTop="1" x14ac:dyDescent="0.25">
      <c r="A61" s="236" t="s">
        <v>183</v>
      </c>
      <c r="B61" s="239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7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48">
        <f t="shared" si="1"/>
        <v>0.98836267215799767</v>
      </c>
      <c r="AB61" s="24">
        <f>SUM(AC61:AV61)</f>
        <v>115893703</v>
      </c>
      <c r="AC61" s="24"/>
      <c r="AD61" s="24"/>
      <c r="AE61" s="24"/>
      <c r="AF61" s="24"/>
      <c r="AG61" s="24"/>
      <c r="AH61" s="24">
        <f>+'[2]DICIEMBRE 2016'!$P$3941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+'[2]DICIEMBRE 2016'!$AG$3941</f>
        <v>66095978</v>
      </c>
      <c r="AW61" s="48">
        <f t="shared" si="3"/>
        <v>1.1637327842002332E-2</v>
      </c>
      <c r="AX61" s="24">
        <f t="shared" ref="AX61:AX92" si="78">SUM(AY61:BQ61)</f>
        <v>1364573</v>
      </c>
      <c r="AY61" s="24">
        <f t="shared" ref="AY61:BM92" si="79">H61-AD61</f>
        <v>0</v>
      </c>
      <c r="AZ61" s="24">
        <f t="shared" si="79"/>
        <v>0</v>
      </c>
      <c r="BA61" s="24">
        <f t="shared" si="79"/>
        <v>0</v>
      </c>
      <c r="BB61" s="24">
        <f t="shared" ref="BB61:BM70" si="80">+K61-AG61</f>
        <v>0</v>
      </c>
      <c r="BC61" s="24">
        <f t="shared" si="80"/>
        <v>202275</v>
      </c>
      <c r="BD61" s="24">
        <f t="shared" si="80"/>
        <v>0</v>
      </c>
      <c r="BE61" s="24">
        <f t="shared" si="80"/>
        <v>0</v>
      </c>
      <c r="BF61" s="24">
        <f t="shared" si="80"/>
        <v>0</v>
      </c>
      <c r="BG61" s="24">
        <f t="shared" si="80"/>
        <v>0</v>
      </c>
      <c r="BH61" s="24">
        <f t="shared" si="80"/>
        <v>0</v>
      </c>
      <c r="BI61" s="24">
        <f t="shared" si="80"/>
        <v>0</v>
      </c>
      <c r="BJ61" s="24">
        <f t="shared" si="80"/>
        <v>0</v>
      </c>
      <c r="BK61" s="24">
        <f t="shared" si="80"/>
        <v>0</v>
      </c>
      <c r="BL61" s="24">
        <f t="shared" si="80"/>
        <v>0</v>
      </c>
      <c r="BM61" s="24">
        <f t="shared" si="80"/>
        <v>0</v>
      </c>
      <c r="BN61" s="24"/>
      <c r="BO61" s="24"/>
      <c r="BP61" s="24">
        <f t="shared" ref="BP61:BP92" si="81">Y61-AU61</f>
        <v>0</v>
      </c>
      <c r="BQ61" s="24">
        <f t="shared" ref="BQ61:BQ70" si="82">+Z61-AV61</f>
        <v>1162298</v>
      </c>
      <c r="BR61" s="48">
        <f t="shared" si="10"/>
        <v>0.98836267215799767</v>
      </c>
      <c r="BS61" s="24">
        <f t="shared" ref="BS61:BS92" si="83">SUM(BT61:CM61)</f>
        <v>115893703</v>
      </c>
      <c r="BT61" s="24"/>
      <c r="BU61" s="24"/>
      <c r="BV61" s="24"/>
      <c r="BW61" s="24"/>
      <c r="BX61" s="24"/>
      <c r="BY61" s="24">
        <f>+'[2]DICIEMBRE 2016'!$P$3941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+'[2]DICIEMBRE 2016'!$AG$3941</f>
        <v>66095978</v>
      </c>
      <c r="CN61" s="25">
        <f t="shared" ref="CN61:CN93" si="84">1-BR61</f>
        <v>1.1637327842002332E-2</v>
      </c>
      <c r="CO61" s="24">
        <f t="shared" ref="CO61:CO92" si="85">SUM(CP61:DH61)</f>
        <v>1364573</v>
      </c>
      <c r="CP61" s="24">
        <f t="shared" ref="CP61:CX76" si="86">H61-BU61</f>
        <v>0</v>
      </c>
      <c r="CQ61" s="24">
        <f t="shared" si="86"/>
        <v>0</v>
      </c>
      <c r="CR61" s="24">
        <f t="shared" si="86"/>
        <v>0</v>
      </c>
      <c r="CS61" s="24">
        <f t="shared" si="86"/>
        <v>0</v>
      </c>
      <c r="CT61" s="24">
        <f t="shared" si="86"/>
        <v>202275</v>
      </c>
      <c r="CU61" s="24">
        <f t="shared" si="86"/>
        <v>0</v>
      </c>
      <c r="CV61" s="24">
        <f t="shared" ref="CV61:CX70" si="87">+N61-CA61</f>
        <v>0</v>
      </c>
      <c r="CW61" s="24">
        <f t="shared" si="87"/>
        <v>0</v>
      </c>
      <c r="CX61" s="24">
        <f t="shared" si="87"/>
        <v>0</v>
      </c>
      <c r="CY61" s="24">
        <f t="shared" ref="CY61:DD91" si="88">Q61-CD61</f>
        <v>0</v>
      </c>
      <c r="CZ61" s="24">
        <f t="shared" si="88"/>
        <v>0</v>
      </c>
      <c r="DA61" s="24">
        <f t="shared" si="88"/>
        <v>0</v>
      </c>
      <c r="DB61" s="24">
        <f t="shared" ref="DB61:DD70" si="89">+T61-CG61</f>
        <v>0</v>
      </c>
      <c r="DC61" s="24">
        <f t="shared" si="89"/>
        <v>0</v>
      </c>
      <c r="DD61" s="24">
        <f t="shared" si="89"/>
        <v>0</v>
      </c>
      <c r="DE61" s="24"/>
      <c r="DF61" s="24">
        <f t="shared" ref="DF61:DH70" si="90">+X61-CK61</f>
        <v>0</v>
      </c>
      <c r="DG61" s="54">
        <f t="shared" si="90"/>
        <v>0</v>
      </c>
      <c r="DH61" s="24">
        <f t="shared" si="90"/>
        <v>1162298</v>
      </c>
      <c r="DJ61" s="29">
        <f t="shared" si="19"/>
        <v>117258276</v>
      </c>
      <c r="DK61" s="29">
        <f t="shared" si="20"/>
        <v>117258276</v>
      </c>
      <c r="DL61" s="29">
        <f t="shared" si="21"/>
        <v>117258276</v>
      </c>
    </row>
    <row r="62" spans="1:116" ht="35.25" customHeight="1" x14ac:dyDescent="0.25">
      <c r="A62" s="237"/>
      <c r="B62" s="240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7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91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8"/>
        <v>5440500</v>
      </c>
      <c r="AY62" s="24">
        <f t="shared" si="79"/>
        <v>0</v>
      </c>
      <c r="AZ62" s="24">
        <f t="shared" si="79"/>
        <v>0</v>
      </c>
      <c r="BA62" s="24">
        <f t="shared" si="79"/>
        <v>0</v>
      </c>
      <c r="BB62" s="24">
        <f t="shared" si="80"/>
        <v>0</v>
      </c>
      <c r="BC62" s="24">
        <f t="shared" si="80"/>
        <v>0</v>
      </c>
      <c r="BD62" s="24">
        <f t="shared" si="80"/>
        <v>0</v>
      </c>
      <c r="BE62" s="24">
        <f t="shared" si="80"/>
        <v>0</v>
      </c>
      <c r="BF62" s="24">
        <f t="shared" si="80"/>
        <v>0</v>
      </c>
      <c r="BG62" s="24">
        <f t="shared" si="80"/>
        <v>0</v>
      </c>
      <c r="BH62" s="24">
        <f t="shared" si="80"/>
        <v>0</v>
      </c>
      <c r="BI62" s="24">
        <f t="shared" si="80"/>
        <v>0</v>
      </c>
      <c r="BJ62" s="24">
        <f t="shared" si="80"/>
        <v>0</v>
      </c>
      <c r="BK62" s="24">
        <f t="shared" si="80"/>
        <v>0</v>
      </c>
      <c r="BL62" s="24">
        <f t="shared" si="80"/>
        <v>0</v>
      </c>
      <c r="BM62" s="24">
        <f t="shared" si="80"/>
        <v>0</v>
      </c>
      <c r="BN62" s="24"/>
      <c r="BO62" s="24"/>
      <c r="BP62" s="24">
        <f t="shared" si="81"/>
        <v>0</v>
      </c>
      <c r="BQ62" s="24">
        <f t="shared" si="82"/>
        <v>5440500</v>
      </c>
      <c r="BR62" s="25">
        <f t="shared" si="10"/>
        <v>0.31993749999999999</v>
      </c>
      <c r="BS62" s="24">
        <f t="shared" si="83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84"/>
        <v>0.68006250000000001</v>
      </c>
      <c r="CO62" s="24">
        <f t="shared" si="85"/>
        <v>5440500</v>
      </c>
      <c r="CP62" s="24">
        <f t="shared" si="86"/>
        <v>0</v>
      </c>
      <c r="CQ62" s="24">
        <f t="shared" si="86"/>
        <v>0</v>
      </c>
      <c r="CR62" s="24">
        <f t="shared" si="86"/>
        <v>0</v>
      </c>
      <c r="CS62" s="24">
        <f t="shared" si="86"/>
        <v>0</v>
      </c>
      <c r="CT62" s="24">
        <f t="shared" si="86"/>
        <v>0</v>
      </c>
      <c r="CU62" s="24">
        <f t="shared" si="86"/>
        <v>0</v>
      </c>
      <c r="CV62" s="24">
        <f t="shared" si="87"/>
        <v>0</v>
      </c>
      <c r="CW62" s="24">
        <f t="shared" si="87"/>
        <v>0</v>
      </c>
      <c r="CX62" s="24">
        <f t="shared" si="87"/>
        <v>0</v>
      </c>
      <c r="CY62" s="24">
        <f t="shared" si="88"/>
        <v>0</v>
      </c>
      <c r="CZ62" s="24">
        <f t="shared" si="88"/>
        <v>0</v>
      </c>
      <c r="DA62" s="24">
        <f t="shared" si="88"/>
        <v>0</v>
      </c>
      <c r="DB62" s="24">
        <f t="shared" si="89"/>
        <v>0</v>
      </c>
      <c r="DC62" s="24">
        <f t="shared" si="89"/>
        <v>0</v>
      </c>
      <c r="DD62" s="24">
        <f t="shared" si="89"/>
        <v>0</v>
      </c>
      <c r="DE62" s="24"/>
      <c r="DF62" s="24">
        <f t="shared" si="90"/>
        <v>0</v>
      </c>
      <c r="DG62" s="54">
        <f t="shared" si="90"/>
        <v>0</v>
      </c>
      <c r="DH62" s="24">
        <f t="shared" si="90"/>
        <v>5440500</v>
      </c>
      <c r="DJ62" s="29">
        <f t="shared" si="19"/>
        <v>8000000</v>
      </c>
      <c r="DK62" s="29">
        <f t="shared" si="20"/>
        <v>8000000</v>
      </c>
      <c r="DL62" s="29">
        <f t="shared" si="21"/>
        <v>8000000</v>
      </c>
    </row>
    <row r="63" spans="1:116" ht="36.75" customHeight="1" x14ac:dyDescent="0.25">
      <c r="A63" s="237"/>
      <c r="B63" s="241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7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91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+'[11]JUNIO 2016'!$G$1784</f>
        <v>3000000</v>
      </c>
      <c r="AW63" s="25">
        <f t="shared" si="3"/>
        <v>0</v>
      </c>
      <c r="AX63" s="24">
        <f t="shared" si="78"/>
        <v>0</v>
      </c>
      <c r="AY63" s="24">
        <f t="shared" si="79"/>
        <v>0</v>
      </c>
      <c r="AZ63" s="24">
        <f t="shared" si="79"/>
        <v>0</v>
      </c>
      <c r="BA63" s="24">
        <f t="shared" si="79"/>
        <v>0</v>
      </c>
      <c r="BB63" s="24">
        <f t="shared" si="80"/>
        <v>0</v>
      </c>
      <c r="BC63" s="24">
        <f t="shared" si="80"/>
        <v>0</v>
      </c>
      <c r="BD63" s="24">
        <f t="shared" si="80"/>
        <v>0</v>
      </c>
      <c r="BE63" s="24">
        <f t="shared" si="80"/>
        <v>0</v>
      </c>
      <c r="BF63" s="24">
        <f t="shared" si="80"/>
        <v>0</v>
      </c>
      <c r="BG63" s="24">
        <f t="shared" si="80"/>
        <v>0</v>
      </c>
      <c r="BH63" s="24">
        <f t="shared" si="80"/>
        <v>0</v>
      </c>
      <c r="BI63" s="24">
        <f t="shared" si="80"/>
        <v>0</v>
      </c>
      <c r="BJ63" s="24">
        <f t="shared" si="80"/>
        <v>0</v>
      </c>
      <c r="BK63" s="24">
        <f t="shared" si="80"/>
        <v>0</v>
      </c>
      <c r="BL63" s="24">
        <f t="shared" si="80"/>
        <v>0</v>
      </c>
      <c r="BM63" s="24">
        <f t="shared" si="80"/>
        <v>0</v>
      </c>
      <c r="BN63" s="24"/>
      <c r="BO63" s="24"/>
      <c r="BP63" s="24">
        <f t="shared" si="81"/>
        <v>0</v>
      </c>
      <c r="BQ63" s="24">
        <f t="shared" si="82"/>
        <v>0</v>
      </c>
      <c r="BR63" s="25">
        <f t="shared" si="10"/>
        <v>1</v>
      </c>
      <c r="BS63" s="24">
        <f t="shared" si="83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+'[11]JUNIO 2016'!$H$1784</f>
        <v>3000000</v>
      </c>
      <c r="CN63" s="25">
        <f t="shared" si="84"/>
        <v>0</v>
      </c>
      <c r="CO63" s="24">
        <f t="shared" si="85"/>
        <v>0</v>
      </c>
      <c r="CP63" s="24">
        <f t="shared" si="86"/>
        <v>0</v>
      </c>
      <c r="CQ63" s="24">
        <f t="shared" si="86"/>
        <v>0</v>
      </c>
      <c r="CR63" s="24">
        <f t="shared" si="86"/>
        <v>0</v>
      </c>
      <c r="CS63" s="24">
        <f t="shared" si="86"/>
        <v>0</v>
      </c>
      <c r="CT63" s="24">
        <f t="shared" si="86"/>
        <v>0</v>
      </c>
      <c r="CU63" s="24">
        <f t="shared" si="86"/>
        <v>0</v>
      </c>
      <c r="CV63" s="24">
        <f t="shared" si="87"/>
        <v>0</v>
      </c>
      <c r="CW63" s="24">
        <f t="shared" si="87"/>
        <v>0</v>
      </c>
      <c r="CX63" s="24">
        <f t="shared" si="87"/>
        <v>0</v>
      </c>
      <c r="CY63" s="24">
        <f t="shared" si="88"/>
        <v>0</v>
      </c>
      <c r="CZ63" s="24">
        <f t="shared" si="88"/>
        <v>0</v>
      </c>
      <c r="DA63" s="24">
        <f t="shared" si="88"/>
        <v>0</v>
      </c>
      <c r="DB63" s="24">
        <f t="shared" si="89"/>
        <v>0</v>
      </c>
      <c r="DC63" s="24">
        <f t="shared" si="89"/>
        <v>0</v>
      </c>
      <c r="DD63" s="24">
        <f t="shared" si="89"/>
        <v>0</v>
      </c>
      <c r="DE63" s="24"/>
      <c r="DF63" s="24">
        <f t="shared" si="90"/>
        <v>0</v>
      </c>
      <c r="DG63" s="54">
        <f t="shared" si="90"/>
        <v>0</v>
      </c>
      <c r="DH63" s="24">
        <f t="shared" si="90"/>
        <v>0</v>
      </c>
      <c r="DJ63" s="29">
        <f t="shared" si="19"/>
        <v>3000000</v>
      </c>
      <c r="DK63" s="29">
        <f t="shared" si="20"/>
        <v>3000000</v>
      </c>
      <c r="DL63" s="29">
        <f t="shared" si="21"/>
        <v>3000000</v>
      </c>
    </row>
    <row r="64" spans="1:116" ht="34.5" customHeight="1" x14ac:dyDescent="0.25">
      <c r="A64" s="237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7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0.90116805</v>
      </c>
      <c r="AB64" s="24">
        <f t="shared" si="91"/>
        <v>18023361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+'[2]DICIEMBRE 2016'!$W$4050</f>
        <v>18023361</v>
      </c>
      <c r="AP64" s="24"/>
      <c r="AQ64" s="24"/>
      <c r="AR64" s="24"/>
      <c r="AS64" s="24"/>
      <c r="AT64" s="24"/>
      <c r="AU64" s="24"/>
      <c r="AV64" s="24"/>
      <c r="AW64" s="25">
        <f t="shared" si="3"/>
        <v>9.8831950000000002E-2</v>
      </c>
      <c r="AX64" s="24">
        <f t="shared" si="78"/>
        <v>1976639</v>
      </c>
      <c r="AY64" s="24">
        <f t="shared" si="79"/>
        <v>0</v>
      </c>
      <c r="AZ64" s="24">
        <f t="shared" si="79"/>
        <v>0</v>
      </c>
      <c r="BA64" s="24">
        <f t="shared" si="79"/>
        <v>0</v>
      </c>
      <c r="BB64" s="24">
        <f t="shared" si="80"/>
        <v>0</v>
      </c>
      <c r="BC64" s="24">
        <f t="shared" si="80"/>
        <v>0</v>
      </c>
      <c r="BD64" s="24">
        <f t="shared" si="80"/>
        <v>0</v>
      </c>
      <c r="BE64" s="24">
        <f t="shared" si="80"/>
        <v>0</v>
      </c>
      <c r="BF64" s="24">
        <f t="shared" si="80"/>
        <v>0</v>
      </c>
      <c r="BG64" s="24">
        <f t="shared" si="80"/>
        <v>0</v>
      </c>
      <c r="BH64" s="24">
        <f t="shared" si="80"/>
        <v>0</v>
      </c>
      <c r="BI64" s="24">
        <f t="shared" si="80"/>
        <v>0</v>
      </c>
      <c r="BJ64" s="24">
        <f t="shared" si="80"/>
        <v>1976639</v>
      </c>
      <c r="BK64" s="24">
        <f t="shared" si="80"/>
        <v>0</v>
      </c>
      <c r="BL64" s="24">
        <f t="shared" si="80"/>
        <v>0</v>
      </c>
      <c r="BM64" s="24">
        <f t="shared" si="80"/>
        <v>0</v>
      </c>
      <c r="BN64" s="24"/>
      <c r="BO64" s="24">
        <f>+X64-AT64</f>
        <v>0</v>
      </c>
      <c r="BP64" s="24">
        <f t="shared" si="81"/>
        <v>0</v>
      </c>
      <c r="BQ64" s="24">
        <f t="shared" si="82"/>
        <v>0</v>
      </c>
      <c r="BR64" s="25">
        <f t="shared" si="10"/>
        <v>0.90116805</v>
      </c>
      <c r="BS64" s="24">
        <f t="shared" si="83"/>
        <v>18023361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+'[5]NOVIEMBRE 2016'!$H$3858</f>
        <v>18023361</v>
      </c>
      <c r="CG64" s="24"/>
      <c r="CH64" s="24"/>
      <c r="CI64" s="24"/>
      <c r="CJ64" s="24"/>
      <c r="CK64" s="24"/>
      <c r="CL64" s="24"/>
      <c r="CM64" s="24"/>
      <c r="CN64" s="25">
        <f t="shared" si="84"/>
        <v>9.8831950000000002E-2</v>
      </c>
      <c r="CO64" s="24">
        <f t="shared" si="85"/>
        <v>1976639</v>
      </c>
      <c r="CP64" s="24">
        <f t="shared" si="86"/>
        <v>0</v>
      </c>
      <c r="CQ64" s="24">
        <f t="shared" si="86"/>
        <v>0</v>
      </c>
      <c r="CR64" s="24">
        <f t="shared" si="86"/>
        <v>0</v>
      </c>
      <c r="CS64" s="24">
        <f t="shared" si="86"/>
        <v>0</v>
      </c>
      <c r="CT64" s="24">
        <f t="shared" si="86"/>
        <v>0</v>
      </c>
      <c r="CU64" s="24">
        <f t="shared" si="86"/>
        <v>0</v>
      </c>
      <c r="CV64" s="24">
        <f t="shared" si="87"/>
        <v>0</v>
      </c>
      <c r="CW64" s="24">
        <f t="shared" si="87"/>
        <v>0</v>
      </c>
      <c r="CX64" s="24">
        <f t="shared" si="87"/>
        <v>0</v>
      </c>
      <c r="CY64" s="24">
        <f t="shared" si="88"/>
        <v>0</v>
      </c>
      <c r="CZ64" s="24">
        <f t="shared" si="88"/>
        <v>0</v>
      </c>
      <c r="DA64" s="24">
        <f t="shared" si="88"/>
        <v>1976639</v>
      </c>
      <c r="DB64" s="24">
        <f t="shared" si="89"/>
        <v>0</v>
      </c>
      <c r="DC64" s="24">
        <f t="shared" si="89"/>
        <v>0</v>
      </c>
      <c r="DD64" s="24">
        <f t="shared" si="89"/>
        <v>0</v>
      </c>
      <c r="DE64" s="24"/>
      <c r="DF64" s="24">
        <f t="shared" si="90"/>
        <v>0</v>
      </c>
      <c r="DG64" s="54">
        <f t="shared" si="90"/>
        <v>0</v>
      </c>
      <c r="DH64" s="24">
        <f t="shared" si="90"/>
        <v>0</v>
      </c>
      <c r="DJ64" s="29">
        <f t="shared" si="19"/>
        <v>20000000</v>
      </c>
      <c r="DK64" s="29">
        <f t="shared" si="20"/>
        <v>20000000</v>
      </c>
      <c r="DL64" s="29">
        <f t="shared" si="21"/>
        <v>20000000</v>
      </c>
    </row>
    <row r="65" spans="1:116" ht="36.75" customHeight="1" x14ac:dyDescent="0.25">
      <c r="A65" s="237"/>
      <c r="B65" s="239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7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0.99588846086956517</v>
      </c>
      <c r="AB65" s="24">
        <f t="shared" si="91"/>
        <v>114527173</v>
      </c>
      <c r="AC65" s="24"/>
      <c r="AD65" s="24"/>
      <c r="AE65" s="24"/>
      <c r="AF65" s="24"/>
      <c r="AG65" s="24">
        <f>+'[4]DICIEMBRE 2016'!$O$4088</f>
        <v>94527173</v>
      </c>
      <c r="AH65" s="24"/>
      <c r="AI65" s="24"/>
      <c r="AJ65" s="24"/>
      <c r="AK65" s="24"/>
      <c r="AL65" s="24"/>
      <c r="AM65" s="24"/>
      <c r="AN65" s="24"/>
      <c r="AO65" s="24">
        <f>+'[2]DICIEMBRE 2016'!$H$4096+'[2]DICIEMBRE 2016'!$H$4097+'[2]DICIEMBRE 2016'!$H$4107+'[2]DICIEMBRE 2016'!$H$4113</f>
        <v>20000000</v>
      </c>
      <c r="AP65" s="24"/>
      <c r="AQ65" s="24"/>
      <c r="AR65" s="24"/>
      <c r="AS65" s="24"/>
      <c r="AT65" s="24"/>
      <c r="AU65" s="24"/>
      <c r="AV65" s="24"/>
      <c r="AW65" s="25">
        <f t="shared" si="3"/>
        <v>4.111539130434827E-3</v>
      </c>
      <c r="AX65" s="24">
        <f t="shared" si="78"/>
        <v>472827</v>
      </c>
      <c r="AY65" s="24">
        <f t="shared" si="79"/>
        <v>0</v>
      </c>
      <c r="AZ65" s="24">
        <f t="shared" si="79"/>
        <v>0</v>
      </c>
      <c r="BA65" s="24">
        <f t="shared" si="79"/>
        <v>0</v>
      </c>
      <c r="BB65" s="24">
        <f t="shared" si="80"/>
        <v>472827</v>
      </c>
      <c r="BC65" s="24">
        <f t="shared" si="80"/>
        <v>0</v>
      </c>
      <c r="BD65" s="24">
        <f t="shared" si="80"/>
        <v>0</v>
      </c>
      <c r="BE65" s="24">
        <f>N65-AJ65</f>
        <v>0</v>
      </c>
      <c r="BF65" s="24">
        <f t="shared" si="80"/>
        <v>0</v>
      </c>
      <c r="BG65" s="24">
        <f t="shared" si="80"/>
        <v>0</v>
      </c>
      <c r="BH65" s="24">
        <f t="shared" si="80"/>
        <v>0</v>
      </c>
      <c r="BI65" s="24">
        <f t="shared" si="80"/>
        <v>0</v>
      </c>
      <c r="BJ65" s="24">
        <f t="shared" si="80"/>
        <v>0</v>
      </c>
      <c r="BK65" s="24">
        <f>T65-AP65</f>
        <v>0</v>
      </c>
      <c r="BL65" s="24">
        <f t="shared" si="80"/>
        <v>0</v>
      </c>
      <c r="BM65" s="24">
        <f t="shared" si="80"/>
        <v>0</v>
      </c>
      <c r="BN65" s="24"/>
      <c r="BO65" s="24"/>
      <c r="BP65" s="24">
        <f t="shared" si="81"/>
        <v>0</v>
      </c>
      <c r="BQ65" s="24">
        <f t="shared" si="82"/>
        <v>0</v>
      </c>
      <c r="BR65" s="25">
        <f t="shared" si="10"/>
        <v>0.99588846086956517</v>
      </c>
      <c r="BS65" s="24">
        <f t="shared" si="83"/>
        <v>114527173</v>
      </c>
      <c r="BT65" s="24"/>
      <c r="BU65" s="24"/>
      <c r="BV65" s="24"/>
      <c r="BW65" s="24"/>
      <c r="BX65" s="24">
        <f>+'[4]DICIEMBRE 2016'!$O$4088</f>
        <v>94527173</v>
      </c>
      <c r="BY65" s="24"/>
      <c r="BZ65" s="24"/>
      <c r="CA65" s="24"/>
      <c r="CB65" s="24"/>
      <c r="CC65" s="24"/>
      <c r="CD65" s="24"/>
      <c r="CE65" s="24"/>
      <c r="CF65" s="24">
        <f>+'[5]NOVIEMBRE 2016'!$H$3905+'[5]NOVIEMBRE 2016'!$H$3906+'[5]NOVIEMBRE 2016'!$H$3916+'[5]NOVIEMBRE 2016'!$H$3922</f>
        <v>20000000</v>
      </c>
      <c r="CG65" s="24"/>
      <c r="CH65" s="24"/>
      <c r="CI65" s="24"/>
      <c r="CJ65" s="24"/>
      <c r="CK65" s="24"/>
      <c r="CL65" s="24"/>
      <c r="CM65" s="24"/>
      <c r="CN65" s="25">
        <f t="shared" si="84"/>
        <v>4.111539130434827E-3</v>
      </c>
      <c r="CO65" s="24">
        <f t="shared" si="85"/>
        <v>472827</v>
      </c>
      <c r="CP65" s="24">
        <f t="shared" si="86"/>
        <v>0</v>
      </c>
      <c r="CQ65" s="24">
        <f t="shared" si="86"/>
        <v>0</v>
      </c>
      <c r="CR65" s="24">
        <f t="shared" si="86"/>
        <v>0</v>
      </c>
      <c r="CS65" s="24">
        <f t="shared" si="86"/>
        <v>472827</v>
      </c>
      <c r="CT65" s="24">
        <f t="shared" si="86"/>
        <v>0</v>
      </c>
      <c r="CU65" s="24">
        <f t="shared" si="86"/>
        <v>0</v>
      </c>
      <c r="CV65" s="24">
        <f t="shared" si="87"/>
        <v>0</v>
      </c>
      <c r="CW65" s="24">
        <f t="shared" si="87"/>
        <v>0</v>
      </c>
      <c r="CX65" s="24">
        <f t="shared" si="87"/>
        <v>0</v>
      </c>
      <c r="CY65" s="24">
        <f t="shared" si="88"/>
        <v>0</v>
      </c>
      <c r="CZ65" s="24">
        <f t="shared" si="88"/>
        <v>0</v>
      </c>
      <c r="DA65" s="24">
        <f t="shared" si="88"/>
        <v>0</v>
      </c>
      <c r="DB65" s="24">
        <f t="shared" si="89"/>
        <v>0</v>
      </c>
      <c r="DC65" s="24">
        <f t="shared" si="89"/>
        <v>0</v>
      </c>
      <c r="DD65" s="24">
        <f t="shared" si="89"/>
        <v>0</v>
      </c>
      <c r="DE65" s="24"/>
      <c r="DF65" s="24">
        <f t="shared" si="90"/>
        <v>0</v>
      </c>
      <c r="DG65" s="54">
        <f t="shared" si="90"/>
        <v>0</v>
      </c>
      <c r="DH65" s="24">
        <f t="shared" si="90"/>
        <v>0</v>
      </c>
      <c r="DJ65" s="29">
        <f t="shared" si="19"/>
        <v>115000000</v>
      </c>
      <c r="DK65" s="29">
        <f t="shared" si="20"/>
        <v>115000000</v>
      </c>
      <c r="DL65" s="29">
        <f t="shared" si="21"/>
        <v>115000000</v>
      </c>
    </row>
    <row r="66" spans="1:116" ht="33.75" customHeight="1" x14ac:dyDescent="0.25">
      <c r="A66" s="237"/>
      <c r="B66" s="240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7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0.91680210635960246</v>
      </c>
      <c r="AB66" s="24">
        <f t="shared" si="91"/>
        <v>372131297</v>
      </c>
      <c r="AC66" s="24"/>
      <c r="AD66" s="24"/>
      <c r="AE66" s="24"/>
      <c r="AF66" s="24"/>
      <c r="AG66" s="24">
        <f>+'[4]DICIEMBRE 2016'!$O$4131</f>
        <v>157483417</v>
      </c>
      <c r="AH66" s="24"/>
      <c r="AI66" s="24"/>
      <c r="AJ66" s="24"/>
      <c r="AK66" s="24"/>
      <c r="AL66" s="24"/>
      <c r="AM66" s="24"/>
      <c r="AN66" s="24">
        <f>+'[4]DICIEMBRE 2016'!$V$4131</f>
        <v>214647880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8.3197893640397536E-2</v>
      </c>
      <c r="AX66" s="24">
        <f t="shared" si="78"/>
        <v>33770145</v>
      </c>
      <c r="AY66" s="24">
        <f t="shared" si="79"/>
        <v>0</v>
      </c>
      <c r="AZ66" s="24">
        <f t="shared" si="79"/>
        <v>0</v>
      </c>
      <c r="BA66" s="24">
        <f t="shared" si="79"/>
        <v>0</v>
      </c>
      <c r="BB66" s="24">
        <f t="shared" si="80"/>
        <v>4418025</v>
      </c>
      <c r="BC66" s="24">
        <f t="shared" si="80"/>
        <v>0</v>
      </c>
      <c r="BD66" s="24">
        <f t="shared" si="80"/>
        <v>0</v>
      </c>
      <c r="BE66" s="24">
        <f>N66-AJ66</f>
        <v>0</v>
      </c>
      <c r="BF66" s="24">
        <f t="shared" si="80"/>
        <v>0</v>
      </c>
      <c r="BG66" s="24">
        <f t="shared" si="80"/>
        <v>0</v>
      </c>
      <c r="BH66" s="24">
        <f t="shared" si="80"/>
        <v>0</v>
      </c>
      <c r="BI66" s="24">
        <f t="shared" si="80"/>
        <v>29352120</v>
      </c>
      <c r="BJ66" s="24">
        <f t="shared" si="80"/>
        <v>0</v>
      </c>
      <c r="BK66" s="24">
        <f>T66-AP66</f>
        <v>0</v>
      </c>
      <c r="BL66" s="24">
        <f t="shared" si="80"/>
        <v>0</v>
      </c>
      <c r="BM66" s="24">
        <f t="shared" si="80"/>
        <v>0</v>
      </c>
      <c r="BN66" s="24"/>
      <c r="BO66" s="24"/>
      <c r="BP66" s="24">
        <f t="shared" si="81"/>
        <v>0</v>
      </c>
      <c r="BQ66" s="24">
        <f t="shared" si="82"/>
        <v>0</v>
      </c>
      <c r="BR66" s="25">
        <f t="shared" si="10"/>
        <v>0.91680210635960246</v>
      </c>
      <c r="BS66" s="24">
        <f t="shared" si="83"/>
        <v>372131297</v>
      </c>
      <c r="BT66" s="24"/>
      <c r="BU66" s="24"/>
      <c r="BV66" s="24"/>
      <c r="BW66" s="24"/>
      <c r="BX66" s="24">
        <f>+'[2]DICIEMBRE 2016'!$O$4129</f>
        <v>157483417</v>
      </c>
      <c r="BY66" s="24"/>
      <c r="BZ66" s="24"/>
      <c r="CA66" s="24"/>
      <c r="CB66" s="24"/>
      <c r="CC66" s="24"/>
      <c r="CD66" s="24"/>
      <c r="CE66" s="24">
        <f>+'[4]DICIEMBRE 2016'!$V$4131</f>
        <v>214647880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84"/>
        <v>8.3197893640397536E-2</v>
      </c>
      <c r="CO66" s="24">
        <f t="shared" si="85"/>
        <v>33770145</v>
      </c>
      <c r="CP66" s="24">
        <f t="shared" si="86"/>
        <v>0</v>
      </c>
      <c r="CQ66" s="24">
        <f t="shared" si="86"/>
        <v>0</v>
      </c>
      <c r="CR66" s="24">
        <f t="shared" si="86"/>
        <v>0</v>
      </c>
      <c r="CS66" s="24">
        <f t="shared" si="86"/>
        <v>4418025</v>
      </c>
      <c r="CT66" s="24">
        <f t="shared" si="86"/>
        <v>0</v>
      </c>
      <c r="CU66" s="24">
        <f t="shared" si="86"/>
        <v>0</v>
      </c>
      <c r="CV66" s="24">
        <f t="shared" si="87"/>
        <v>0</v>
      </c>
      <c r="CW66" s="24">
        <f t="shared" si="87"/>
        <v>0</v>
      </c>
      <c r="CX66" s="24">
        <f t="shared" si="87"/>
        <v>0</v>
      </c>
      <c r="CY66" s="24">
        <f t="shared" si="88"/>
        <v>0</v>
      </c>
      <c r="CZ66" s="24">
        <f t="shared" si="88"/>
        <v>29352120</v>
      </c>
      <c r="DA66" s="24">
        <f t="shared" si="88"/>
        <v>0</v>
      </c>
      <c r="DB66" s="24">
        <f t="shared" si="89"/>
        <v>0</v>
      </c>
      <c r="DC66" s="24">
        <f t="shared" si="89"/>
        <v>0</v>
      </c>
      <c r="DD66" s="24">
        <f t="shared" si="89"/>
        <v>0</v>
      </c>
      <c r="DE66" s="24"/>
      <c r="DF66" s="24">
        <f t="shared" si="90"/>
        <v>0</v>
      </c>
      <c r="DG66" s="54">
        <f t="shared" si="90"/>
        <v>0</v>
      </c>
      <c r="DH66" s="24">
        <f t="shared" si="90"/>
        <v>0</v>
      </c>
      <c r="DJ66" s="29">
        <f t="shared" si="19"/>
        <v>405901442</v>
      </c>
      <c r="DK66" s="29">
        <f t="shared" si="20"/>
        <v>405901442</v>
      </c>
      <c r="DL66" s="29">
        <f t="shared" si="21"/>
        <v>405901442</v>
      </c>
    </row>
    <row r="67" spans="1:116" ht="30.75" customHeight="1" x14ac:dyDescent="0.25">
      <c r="A67" s="237"/>
      <c r="B67" s="240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7"/>
        <v>18000000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8000000+3000000+10000000-3000000</f>
        <v>18000000</v>
      </c>
      <c r="AA67" s="25">
        <f t="shared" si="1"/>
        <v>0.98928400000000005</v>
      </c>
      <c r="AB67" s="24">
        <f t="shared" si="91"/>
        <v>17807112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+'[4]DICIEMBRE 2016'!$AG$4308</f>
        <v>17807112</v>
      </c>
      <c r="AW67" s="25">
        <f t="shared" si="3"/>
        <v>1.0715999999999948E-2</v>
      </c>
      <c r="AX67" s="24">
        <f t="shared" si="78"/>
        <v>192888</v>
      </c>
      <c r="AY67" s="24">
        <f t="shared" si="79"/>
        <v>0</v>
      </c>
      <c r="AZ67" s="24">
        <f t="shared" si="79"/>
        <v>0</v>
      </c>
      <c r="BA67" s="24">
        <f t="shared" si="79"/>
        <v>0</v>
      </c>
      <c r="BB67" s="24">
        <f t="shared" si="80"/>
        <v>0</v>
      </c>
      <c r="BC67" s="24">
        <f t="shared" si="80"/>
        <v>0</v>
      </c>
      <c r="BD67" s="24">
        <f t="shared" si="80"/>
        <v>0</v>
      </c>
      <c r="BE67" s="24">
        <f>N67-AJ67</f>
        <v>0</v>
      </c>
      <c r="BF67" s="24">
        <f t="shared" si="80"/>
        <v>0</v>
      </c>
      <c r="BG67" s="24">
        <f t="shared" si="80"/>
        <v>0</v>
      </c>
      <c r="BH67" s="24">
        <f t="shared" si="80"/>
        <v>0</v>
      </c>
      <c r="BI67" s="24">
        <f t="shared" si="80"/>
        <v>0</v>
      </c>
      <c r="BJ67" s="24">
        <f t="shared" si="80"/>
        <v>0</v>
      </c>
      <c r="BK67" s="24">
        <f>T67-AP67</f>
        <v>0</v>
      </c>
      <c r="BL67" s="24">
        <f t="shared" si="80"/>
        <v>0</v>
      </c>
      <c r="BM67" s="24">
        <f t="shared" si="80"/>
        <v>0</v>
      </c>
      <c r="BN67" s="24"/>
      <c r="BO67" s="24"/>
      <c r="BP67" s="24">
        <f t="shared" si="81"/>
        <v>0</v>
      </c>
      <c r="BQ67" s="24">
        <f t="shared" si="82"/>
        <v>192888</v>
      </c>
      <c r="BR67" s="25">
        <f t="shared" si="10"/>
        <v>0.98928400000000005</v>
      </c>
      <c r="BS67" s="24">
        <f t="shared" si="83"/>
        <v>17807112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+'[4]DICIEMBRE 2016'!$AG$4308</f>
        <v>17807112</v>
      </c>
      <c r="CN67" s="25">
        <f t="shared" si="84"/>
        <v>1.0715999999999948E-2</v>
      </c>
      <c r="CO67" s="24">
        <f t="shared" si="85"/>
        <v>192888</v>
      </c>
      <c r="CP67" s="24">
        <f t="shared" si="86"/>
        <v>0</v>
      </c>
      <c r="CQ67" s="24">
        <f t="shared" si="86"/>
        <v>0</v>
      </c>
      <c r="CR67" s="24">
        <f t="shared" si="86"/>
        <v>0</v>
      </c>
      <c r="CS67" s="24">
        <f t="shared" si="86"/>
        <v>0</v>
      </c>
      <c r="CT67" s="24">
        <f t="shared" si="86"/>
        <v>0</v>
      </c>
      <c r="CU67" s="24">
        <f t="shared" si="86"/>
        <v>0</v>
      </c>
      <c r="CV67" s="24">
        <f t="shared" si="87"/>
        <v>0</v>
      </c>
      <c r="CW67" s="24">
        <f t="shared" si="87"/>
        <v>0</v>
      </c>
      <c r="CX67" s="24">
        <f t="shared" si="87"/>
        <v>0</v>
      </c>
      <c r="CY67" s="24">
        <f t="shared" si="88"/>
        <v>0</v>
      </c>
      <c r="CZ67" s="24">
        <f t="shared" si="88"/>
        <v>0</v>
      </c>
      <c r="DA67" s="24">
        <f t="shared" si="88"/>
        <v>0</v>
      </c>
      <c r="DB67" s="24">
        <f t="shared" si="89"/>
        <v>0</v>
      </c>
      <c r="DC67" s="24">
        <f t="shared" si="89"/>
        <v>0</v>
      </c>
      <c r="DD67" s="24">
        <f t="shared" si="89"/>
        <v>0</v>
      </c>
      <c r="DE67" s="24"/>
      <c r="DF67" s="24">
        <f t="shared" si="90"/>
        <v>0</v>
      </c>
      <c r="DG67" s="54">
        <f t="shared" si="90"/>
        <v>0</v>
      </c>
      <c r="DH67" s="24">
        <f t="shared" si="90"/>
        <v>192888</v>
      </c>
      <c r="DJ67" s="29">
        <f t="shared" si="19"/>
        <v>18000000</v>
      </c>
      <c r="DK67" s="29">
        <f t="shared" si="20"/>
        <v>18000000</v>
      </c>
      <c r="DL67" s="29">
        <f t="shared" si="21"/>
        <v>18000000</v>
      </c>
    </row>
    <row r="68" spans="1:116" ht="34.5" customHeight="1" x14ac:dyDescent="0.25">
      <c r="A68" s="237"/>
      <c r="B68" s="240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7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92">+AB68/G68</f>
        <v>0.81875084291993694</v>
      </c>
      <c r="AB68" s="24">
        <f t="shared" si="91"/>
        <v>6963200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+'[4]DICIEMBRE 2016'!$AG$4342</f>
        <v>6963200</v>
      </c>
      <c r="AW68" s="25">
        <f t="shared" si="3"/>
        <v>0.18124915708006306</v>
      </c>
      <c r="AX68" s="24">
        <f t="shared" si="78"/>
        <v>1541463</v>
      </c>
      <c r="AY68" s="24">
        <f t="shared" si="79"/>
        <v>0</v>
      </c>
      <c r="AZ68" s="24">
        <f t="shared" si="79"/>
        <v>0</v>
      </c>
      <c r="BA68" s="24">
        <f t="shared" si="79"/>
        <v>0</v>
      </c>
      <c r="BB68" s="24">
        <f t="shared" si="80"/>
        <v>0</v>
      </c>
      <c r="BC68" s="24">
        <f t="shared" si="80"/>
        <v>0</v>
      </c>
      <c r="BD68" s="24">
        <f t="shared" si="80"/>
        <v>0</v>
      </c>
      <c r="BE68" s="24">
        <f>N68-AJ68</f>
        <v>0</v>
      </c>
      <c r="BF68" s="24">
        <f t="shared" si="80"/>
        <v>0</v>
      </c>
      <c r="BG68" s="24">
        <f t="shared" si="80"/>
        <v>0</v>
      </c>
      <c r="BH68" s="24">
        <f t="shared" si="80"/>
        <v>0</v>
      </c>
      <c r="BI68" s="24">
        <f t="shared" si="80"/>
        <v>0</v>
      </c>
      <c r="BJ68" s="24">
        <f t="shared" si="80"/>
        <v>0</v>
      </c>
      <c r="BK68" s="24">
        <f>T68-AP68</f>
        <v>0</v>
      </c>
      <c r="BL68" s="24">
        <f t="shared" si="80"/>
        <v>0</v>
      </c>
      <c r="BM68" s="24">
        <f t="shared" si="80"/>
        <v>0</v>
      </c>
      <c r="BN68" s="24"/>
      <c r="BO68" s="24"/>
      <c r="BP68" s="24">
        <f t="shared" si="81"/>
        <v>0</v>
      </c>
      <c r="BQ68" s="24">
        <f t="shared" si="82"/>
        <v>1541463</v>
      </c>
      <c r="BR68" s="25">
        <f t="shared" ref="BR68:BR93" si="93">+BS68/G68</f>
        <v>0.81875084291993694</v>
      </c>
      <c r="BS68" s="24">
        <f t="shared" si="83"/>
        <v>6963200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+'[4]DICIEMBRE 2016'!$AG$4342</f>
        <v>6963200</v>
      </c>
      <c r="CN68" s="25">
        <f t="shared" si="84"/>
        <v>0.18124915708006306</v>
      </c>
      <c r="CO68" s="24">
        <f t="shared" si="85"/>
        <v>1541463</v>
      </c>
      <c r="CP68" s="24">
        <f t="shared" si="86"/>
        <v>0</v>
      </c>
      <c r="CQ68" s="24">
        <f t="shared" si="86"/>
        <v>0</v>
      </c>
      <c r="CR68" s="24">
        <f t="shared" si="86"/>
        <v>0</v>
      </c>
      <c r="CS68" s="24">
        <f t="shared" si="86"/>
        <v>0</v>
      </c>
      <c r="CT68" s="24">
        <f t="shared" si="86"/>
        <v>0</v>
      </c>
      <c r="CU68" s="24">
        <f t="shared" si="86"/>
        <v>0</v>
      </c>
      <c r="CV68" s="24">
        <f t="shared" si="87"/>
        <v>0</v>
      </c>
      <c r="CW68" s="24">
        <f t="shared" si="87"/>
        <v>0</v>
      </c>
      <c r="CX68" s="24">
        <f t="shared" si="87"/>
        <v>0</v>
      </c>
      <c r="CY68" s="24">
        <f t="shared" si="88"/>
        <v>0</v>
      </c>
      <c r="CZ68" s="24">
        <f t="shared" si="88"/>
        <v>0</v>
      </c>
      <c r="DA68" s="24">
        <f t="shared" si="88"/>
        <v>0</v>
      </c>
      <c r="DB68" s="24">
        <f t="shared" si="89"/>
        <v>0</v>
      </c>
      <c r="DC68" s="24">
        <f t="shared" si="89"/>
        <v>0</v>
      </c>
      <c r="DD68" s="24">
        <f t="shared" si="89"/>
        <v>0</v>
      </c>
      <c r="DE68" s="24"/>
      <c r="DF68" s="24">
        <f t="shared" si="90"/>
        <v>0</v>
      </c>
      <c r="DG68" s="54">
        <f t="shared" si="90"/>
        <v>0</v>
      </c>
      <c r="DH68" s="24">
        <f t="shared" si="90"/>
        <v>1541463</v>
      </c>
      <c r="DJ68" s="29">
        <f t="shared" ref="DJ68:DJ131" si="94">+G68</f>
        <v>8504663</v>
      </c>
      <c r="DK68" s="29">
        <f t="shared" si="20"/>
        <v>8504663</v>
      </c>
      <c r="DL68" s="29">
        <f t="shared" si="21"/>
        <v>8504663</v>
      </c>
    </row>
    <row r="69" spans="1:116" ht="35.25" customHeight="1" x14ac:dyDescent="0.25">
      <c r="A69" s="237"/>
      <c r="B69" s="240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7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92"/>
        <v>0.60246900000000003</v>
      </c>
      <c r="AB69" s="24">
        <f t="shared" si="91"/>
        <v>602469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+'[4]DICIEMBRE 2016'!$G$4352</f>
        <v>602469</v>
      </c>
      <c r="AW69" s="25">
        <f t="shared" si="3"/>
        <v>0.39753099999999997</v>
      </c>
      <c r="AX69" s="24">
        <f t="shared" si="78"/>
        <v>397531</v>
      </c>
      <c r="AY69" s="24">
        <f t="shared" si="79"/>
        <v>0</v>
      </c>
      <c r="AZ69" s="24">
        <f t="shared" si="79"/>
        <v>0</v>
      </c>
      <c r="BA69" s="24">
        <f t="shared" si="79"/>
        <v>0</v>
      </c>
      <c r="BB69" s="24">
        <f t="shared" si="80"/>
        <v>0</v>
      </c>
      <c r="BC69" s="24">
        <f t="shared" si="80"/>
        <v>0</v>
      </c>
      <c r="BD69" s="24">
        <f t="shared" si="80"/>
        <v>0</v>
      </c>
      <c r="BE69" s="24">
        <f>+N69-AJ69</f>
        <v>0</v>
      </c>
      <c r="BF69" s="24">
        <f t="shared" si="80"/>
        <v>0</v>
      </c>
      <c r="BG69" s="24">
        <f t="shared" si="80"/>
        <v>0</v>
      </c>
      <c r="BH69" s="24">
        <f t="shared" si="80"/>
        <v>0</v>
      </c>
      <c r="BI69" s="24">
        <f t="shared" si="80"/>
        <v>0</v>
      </c>
      <c r="BJ69" s="24">
        <f t="shared" si="80"/>
        <v>0</v>
      </c>
      <c r="BK69" s="24">
        <f>+T69-AP69</f>
        <v>0</v>
      </c>
      <c r="BL69" s="24">
        <f t="shared" si="80"/>
        <v>0</v>
      </c>
      <c r="BM69" s="24">
        <f t="shared" si="80"/>
        <v>0</v>
      </c>
      <c r="BN69" s="24"/>
      <c r="BO69" s="24">
        <f>+X69-AT69</f>
        <v>0</v>
      </c>
      <c r="BP69" s="24">
        <f t="shared" si="81"/>
        <v>0</v>
      </c>
      <c r="BQ69" s="24">
        <f t="shared" si="82"/>
        <v>397531</v>
      </c>
      <c r="BR69" s="25">
        <f t="shared" si="93"/>
        <v>0.60246900000000003</v>
      </c>
      <c r="BS69" s="24">
        <f t="shared" si="83"/>
        <v>602469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+'[4]DICIEMBRE 2016'!$AG$4354</f>
        <v>602469</v>
      </c>
      <c r="CN69" s="25">
        <f t="shared" si="84"/>
        <v>0.39753099999999997</v>
      </c>
      <c r="CO69" s="24">
        <f t="shared" si="85"/>
        <v>397531</v>
      </c>
      <c r="CP69" s="24">
        <f t="shared" si="86"/>
        <v>0</v>
      </c>
      <c r="CQ69" s="24">
        <f t="shared" si="86"/>
        <v>0</v>
      </c>
      <c r="CR69" s="24">
        <f t="shared" si="86"/>
        <v>0</v>
      </c>
      <c r="CS69" s="24">
        <f t="shared" si="86"/>
        <v>0</v>
      </c>
      <c r="CT69" s="24">
        <f t="shared" si="86"/>
        <v>0</v>
      </c>
      <c r="CU69" s="24">
        <f t="shared" si="86"/>
        <v>0</v>
      </c>
      <c r="CV69" s="24">
        <f t="shared" si="87"/>
        <v>0</v>
      </c>
      <c r="CW69" s="24">
        <f t="shared" si="87"/>
        <v>0</v>
      </c>
      <c r="CX69" s="24">
        <f t="shared" si="87"/>
        <v>0</v>
      </c>
      <c r="CY69" s="24">
        <f t="shared" si="88"/>
        <v>0</v>
      </c>
      <c r="CZ69" s="24">
        <f t="shared" si="88"/>
        <v>0</v>
      </c>
      <c r="DA69" s="24">
        <f t="shared" si="88"/>
        <v>0</v>
      </c>
      <c r="DB69" s="24">
        <f t="shared" si="89"/>
        <v>0</v>
      </c>
      <c r="DC69" s="24">
        <f t="shared" si="89"/>
        <v>0</v>
      </c>
      <c r="DD69" s="24">
        <f t="shared" si="89"/>
        <v>0</v>
      </c>
      <c r="DE69" s="24"/>
      <c r="DF69" s="24">
        <f t="shared" si="90"/>
        <v>0</v>
      </c>
      <c r="DG69" s="54">
        <f t="shared" si="90"/>
        <v>0</v>
      </c>
      <c r="DH69" s="24">
        <f t="shared" si="90"/>
        <v>397531</v>
      </c>
      <c r="DJ69" s="29">
        <f t="shared" si="94"/>
        <v>1000000</v>
      </c>
      <c r="DK69" s="29">
        <f t="shared" si="20"/>
        <v>1000000</v>
      </c>
      <c r="DL69" s="29">
        <f t="shared" si="21"/>
        <v>1000000</v>
      </c>
    </row>
    <row r="70" spans="1:116" ht="76.5" customHeight="1" x14ac:dyDescent="0.25">
      <c r="A70" s="237"/>
      <c r="B70" s="240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7"/>
        <v>500018694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267022558+25000000+11804220+35899362+2954659+41266345-11804220+4000000+896074+17250000+7067000+8662696+46000000+11000000+3000000</f>
        <v>470018694</v>
      </c>
      <c r="AA70" s="25">
        <f t="shared" si="92"/>
        <v>0.9815855944777937</v>
      </c>
      <c r="AB70" s="24">
        <f t="shared" si="91"/>
        <v>490811147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+'[4]DICIEMBRE 2016'!$W$4361</f>
        <v>26900225</v>
      </c>
      <c r="AP70" s="24"/>
      <c r="AQ70" s="24"/>
      <c r="AR70" s="24"/>
      <c r="AS70" s="24"/>
      <c r="AT70" s="24"/>
      <c r="AU70" s="24"/>
      <c r="AV70" s="24">
        <f>+'[4]DICIEMBRE 2016'!$AG$4361</f>
        <v>463910922</v>
      </c>
      <c r="AW70" s="25">
        <f t="shared" ref="AW70:AW93" si="95">1-AA70</f>
        <v>1.8414405522206301E-2</v>
      </c>
      <c r="AX70" s="24">
        <f t="shared" si="78"/>
        <v>9207547</v>
      </c>
      <c r="AY70" s="24">
        <f t="shared" si="79"/>
        <v>0</v>
      </c>
      <c r="AZ70" s="24">
        <f t="shared" si="79"/>
        <v>0</v>
      </c>
      <c r="BA70" s="24">
        <f t="shared" si="79"/>
        <v>0</v>
      </c>
      <c r="BB70" s="24">
        <f t="shared" si="80"/>
        <v>0</v>
      </c>
      <c r="BC70" s="24">
        <f t="shared" si="80"/>
        <v>0</v>
      </c>
      <c r="BD70" s="24">
        <f t="shared" si="80"/>
        <v>0</v>
      </c>
      <c r="BE70" s="24">
        <f>+N70-AJ70</f>
        <v>0</v>
      </c>
      <c r="BF70" s="24">
        <f t="shared" si="80"/>
        <v>0</v>
      </c>
      <c r="BG70" s="24">
        <f t="shared" si="80"/>
        <v>0</v>
      </c>
      <c r="BH70" s="24">
        <f t="shared" si="80"/>
        <v>0</v>
      </c>
      <c r="BI70" s="24">
        <f t="shared" si="80"/>
        <v>0</v>
      </c>
      <c r="BJ70" s="24">
        <f t="shared" si="80"/>
        <v>3099775</v>
      </c>
      <c r="BK70" s="24">
        <f>+T70-AP70</f>
        <v>0</v>
      </c>
      <c r="BL70" s="24">
        <f t="shared" si="80"/>
        <v>0</v>
      </c>
      <c r="BM70" s="24">
        <f t="shared" si="80"/>
        <v>0</v>
      </c>
      <c r="BN70" s="24"/>
      <c r="BO70" s="24"/>
      <c r="BP70" s="24">
        <f t="shared" si="81"/>
        <v>0</v>
      </c>
      <c r="BQ70" s="24">
        <f t="shared" si="82"/>
        <v>6107772</v>
      </c>
      <c r="BR70" s="25">
        <f t="shared" si="93"/>
        <v>0.9815855944777937</v>
      </c>
      <c r="BS70" s="24">
        <f t="shared" si="83"/>
        <v>490811147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+'[4]DICIEMBRE 2016'!$W$4361</f>
        <v>26900225</v>
      </c>
      <c r="CG70" s="24"/>
      <c r="CH70" s="24"/>
      <c r="CI70" s="24"/>
      <c r="CJ70" s="24"/>
      <c r="CK70" s="24"/>
      <c r="CL70" s="24"/>
      <c r="CM70" s="24">
        <f>+'[4]DICIEMBRE 2016'!$AG$4361</f>
        <v>463910922</v>
      </c>
      <c r="CN70" s="25">
        <f t="shared" si="84"/>
        <v>1.8414405522206301E-2</v>
      </c>
      <c r="CO70" s="24">
        <f t="shared" si="85"/>
        <v>9207547</v>
      </c>
      <c r="CP70" s="24">
        <f t="shared" si="86"/>
        <v>0</v>
      </c>
      <c r="CQ70" s="24">
        <f t="shared" si="86"/>
        <v>0</v>
      </c>
      <c r="CR70" s="24">
        <f t="shared" si="86"/>
        <v>0</v>
      </c>
      <c r="CS70" s="24">
        <f t="shared" si="86"/>
        <v>0</v>
      </c>
      <c r="CT70" s="24">
        <f t="shared" si="86"/>
        <v>0</v>
      </c>
      <c r="CU70" s="24">
        <f t="shared" si="86"/>
        <v>0</v>
      </c>
      <c r="CV70" s="24">
        <f t="shared" si="87"/>
        <v>0</v>
      </c>
      <c r="CW70" s="24">
        <f t="shared" si="87"/>
        <v>0</v>
      </c>
      <c r="CX70" s="24">
        <f t="shared" si="87"/>
        <v>0</v>
      </c>
      <c r="CY70" s="24">
        <f t="shared" si="88"/>
        <v>0</v>
      </c>
      <c r="CZ70" s="24">
        <f t="shared" si="88"/>
        <v>0</v>
      </c>
      <c r="DA70" s="24">
        <f t="shared" si="88"/>
        <v>3099775</v>
      </c>
      <c r="DB70" s="24">
        <f t="shared" si="89"/>
        <v>0</v>
      </c>
      <c r="DC70" s="24">
        <f t="shared" si="89"/>
        <v>0</v>
      </c>
      <c r="DD70" s="24">
        <f t="shared" si="89"/>
        <v>0</v>
      </c>
      <c r="DE70" s="24"/>
      <c r="DF70" s="24">
        <f t="shared" si="90"/>
        <v>0</v>
      </c>
      <c r="DG70" s="54">
        <f t="shared" si="90"/>
        <v>0</v>
      </c>
      <c r="DH70" s="24">
        <f t="shared" si="90"/>
        <v>6107772</v>
      </c>
      <c r="DJ70" s="29">
        <f t="shared" si="94"/>
        <v>500018694</v>
      </c>
      <c r="DK70" s="29">
        <f t="shared" ref="DK70:DK135" si="96">+AB70+AX70</f>
        <v>500018694</v>
      </c>
      <c r="DL70" s="29">
        <f t="shared" ref="DL70:DL135" si="97">+BS70+CO70</f>
        <v>500018694</v>
      </c>
    </row>
    <row r="71" spans="1:116" ht="36" customHeight="1" x14ac:dyDescent="0.25">
      <c r="A71" s="237"/>
      <c r="B71" s="240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7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92"/>
        <v>0.33956819999999999</v>
      </c>
      <c r="AB71" s="24">
        <f t="shared" si="91"/>
        <v>6791364</v>
      </c>
      <c r="AC71" s="24"/>
      <c r="AD71" s="24"/>
      <c r="AE71" s="24"/>
      <c r="AF71" s="24"/>
      <c r="AG71" s="24">
        <f>+'[4]DICIEMBRE 2016'!$O$4526</f>
        <v>6791364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5"/>
        <v>0.66043180000000001</v>
      </c>
      <c r="AX71" s="24">
        <f t="shared" si="78"/>
        <v>13208636</v>
      </c>
      <c r="AY71" s="24">
        <f t="shared" si="79"/>
        <v>0</v>
      </c>
      <c r="AZ71" s="24">
        <f t="shared" si="79"/>
        <v>0</v>
      </c>
      <c r="BA71" s="24">
        <f t="shared" si="79"/>
        <v>0</v>
      </c>
      <c r="BB71" s="24">
        <f t="shared" si="79"/>
        <v>13208636</v>
      </c>
      <c r="BC71" s="24">
        <f t="shared" si="79"/>
        <v>0</v>
      </c>
      <c r="BD71" s="24">
        <f t="shared" si="79"/>
        <v>0</v>
      </c>
      <c r="BE71" s="24">
        <f t="shared" si="79"/>
        <v>0</v>
      </c>
      <c r="BF71" s="24">
        <f t="shared" si="79"/>
        <v>0</v>
      </c>
      <c r="BG71" s="24">
        <f t="shared" si="79"/>
        <v>0</v>
      </c>
      <c r="BH71" s="24">
        <f t="shared" si="79"/>
        <v>0</v>
      </c>
      <c r="BI71" s="24">
        <f t="shared" si="79"/>
        <v>0</v>
      </c>
      <c r="BJ71" s="24">
        <f t="shared" si="79"/>
        <v>0</v>
      </c>
      <c r="BK71" s="24">
        <f t="shared" si="79"/>
        <v>0</v>
      </c>
      <c r="BL71" s="24">
        <f t="shared" si="79"/>
        <v>0</v>
      </c>
      <c r="BM71" s="24">
        <f t="shared" si="79"/>
        <v>0</v>
      </c>
      <c r="BN71" s="24"/>
      <c r="BO71" s="24">
        <f>X71-AT71</f>
        <v>0</v>
      </c>
      <c r="BP71" s="24">
        <f t="shared" si="81"/>
        <v>0</v>
      </c>
      <c r="BQ71" s="24">
        <f>Z71-AV71</f>
        <v>0</v>
      </c>
      <c r="BR71" s="25">
        <f t="shared" si="93"/>
        <v>0.33956819999999999</v>
      </c>
      <c r="BS71" s="24">
        <f t="shared" si="83"/>
        <v>6791364</v>
      </c>
      <c r="BT71" s="24"/>
      <c r="BU71" s="24"/>
      <c r="BV71" s="24"/>
      <c r="BW71" s="24"/>
      <c r="BX71" s="24">
        <f>+'[4]DICIEMBRE 2016'!$H$4524</f>
        <v>6791364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84"/>
        <v>0.66043180000000001</v>
      </c>
      <c r="CO71" s="24">
        <f t="shared" si="85"/>
        <v>13208636</v>
      </c>
      <c r="CP71" s="24">
        <f t="shared" si="86"/>
        <v>0</v>
      </c>
      <c r="CQ71" s="24">
        <f t="shared" si="86"/>
        <v>0</v>
      </c>
      <c r="CR71" s="24">
        <f t="shared" si="86"/>
        <v>0</v>
      </c>
      <c r="CS71" s="24">
        <f t="shared" si="86"/>
        <v>13208636</v>
      </c>
      <c r="CT71" s="24">
        <f t="shared" si="86"/>
        <v>0</v>
      </c>
      <c r="CU71" s="24">
        <f t="shared" si="86"/>
        <v>0</v>
      </c>
      <c r="CV71" s="24">
        <f t="shared" si="86"/>
        <v>0</v>
      </c>
      <c r="CW71" s="24">
        <f t="shared" si="86"/>
        <v>0</v>
      </c>
      <c r="CX71" s="24">
        <f t="shared" si="86"/>
        <v>0</v>
      </c>
      <c r="CY71" s="24">
        <f t="shared" si="88"/>
        <v>0</v>
      </c>
      <c r="CZ71" s="24">
        <f t="shared" si="88"/>
        <v>0</v>
      </c>
      <c r="DA71" s="24">
        <f t="shared" si="88"/>
        <v>0</v>
      </c>
      <c r="DB71" s="24">
        <f t="shared" si="88"/>
        <v>0</v>
      </c>
      <c r="DC71" s="24">
        <f t="shared" si="88"/>
        <v>0</v>
      </c>
      <c r="DD71" s="24">
        <f t="shared" si="88"/>
        <v>0</v>
      </c>
      <c r="DE71" s="24"/>
      <c r="DF71" s="24">
        <f t="shared" ref="DF71:DH72" si="98">X71-CK71</f>
        <v>0</v>
      </c>
      <c r="DG71" s="24">
        <f t="shared" si="98"/>
        <v>0</v>
      </c>
      <c r="DH71" s="24">
        <f t="shared" si="98"/>
        <v>0</v>
      </c>
      <c r="DJ71" s="29">
        <f t="shared" si="94"/>
        <v>20000000</v>
      </c>
      <c r="DK71" s="29">
        <f t="shared" si="96"/>
        <v>20000000</v>
      </c>
      <c r="DL71" s="29">
        <f t="shared" si="97"/>
        <v>20000000</v>
      </c>
    </row>
    <row r="72" spans="1:116" ht="34.5" customHeight="1" x14ac:dyDescent="0.25">
      <c r="A72" s="238"/>
      <c r="B72" s="241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7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92"/>
        <v>0.92382905000000004</v>
      </c>
      <c r="AB72" s="24">
        <f t="shared" si="91"/>
        <v>18476581</v>
      </c>
      <c r="AC72" s="24"/>
      <c r="AD72" s="24"/>
      <c r="AE72" s="24"/>
      <c r="AF72" s="24"/>
      <c r="AG72" s="24">
        <f>+'[2]DICIEMBRE 2016'!$O$4535</f>
        <v>18476581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5"/>
        <v>7.617094999999996E-2</v>
      </c>
      <c r="AX72" s="24">
        <f t="shared" si="78"/>
        <v>1523419</v>
      </c>
      <c r="AY72" s="24">
        <f t="shared" si="79"/>
        <v>0</v>
      </c>
      <c r="AZ72" s="24">
        <f t="shared" si="79"/>
        <v>0</v>
      </c>
      <c r="BA72" s="24">
        <f t="shared" si="79"/>
        <v>0</v>
      </c>
      <c r="BB72" s="24">
        <f t="shared" si="79"/>
        <v>1523419</v>
      </c>
      <c r="BC72" s="24">
        <f t="shared" si="79"/>
        <v>0</v>
      </c>
      <c r="BD72" s="24">
        <f t="shared" si="79"/>
        <v>0</v>
      </c>
      <c r="BE72" s="24">
        <f t="shared" si="79"/>
        <v>0</v>
      </c>
      <c r="BF72" s="24">
        <f t="shared" si="79"/>
        <v>0</v>
      </c>
      <c r="BG72" s="24">
        <f t="shared" si="79"/>
        <v>0</v>
      </c>
      <c r="BH72" s="24">
        <f t="shared" si="79"/>
        <v>0</v>
      </c>
      <c r="BI72" s="24">
        <f t="shared" si="79"/>
        <v>0</v>
      </c>
      <c r="BJ72" s="24">
        <f t="shared" si="79"/>
        <v>0</v>
      </c>
      <c r="BK72" s="24">
        <f t="shared" si="79"/>
        <v>0</v>
      </c>
      <c r="BL72" s="24">
        <f t="shared" si="79"/>
        <v>0</v>
      </c>
      <c r="BM72" s="24">
        <f t="shared" si="79"/>
        <v>0</v>
      </c>
      <c r="BN72" s="24"/>
      <c r="BO72" s="24">
        <f>X72-AT72</f>
        <v>0</v>
      </c>
      <c r="BP72" s="24">
        <f t="shared" si="81"/>
        <v>0</v>
      </c>
      <c r="BQ72" s="24">
        <f>Z72-AV72</f>
        <v>0</v>
      </c>
      <c r="BR72" s="25">
        <f t="shared" si="93"/>
        <v>0.92382905000000004</v>
      </c>
      <c r="BS72" s="24">
        <f t="shared" si="83"/>
        <v>18476581</v>
      </c>
      <c r="BT72" s="24"/>
      <c r="BU72" s="24"/>
      <c r="BV72" s="24"/>
      <c r="BW72" s="24"/>
      <c r="BX72" s="24">
        <f>+'[10]SEPTIEMBRE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84"/>
        <v>7.617094999999996E-2</v>
      </c>
      <c r="CO72" s="24">
        <f t="shared" si="85"/>
        <v>1523419</v>
      </c>
      <c r="CP72" s="24">
        <f t="shared" si="86"/>
        <v>0</v>
      </c>
      <c r="CQ72" s="24">
        <f t="shared" si="86"/>
        <v>0</v>
      </c>
      <c r="CR72" s="24">
        <f t="shared" si="86"/>
        <v>0</v>
      </c>
      <c r="CS72" s="24">
        <f t="shared" si="86"/>
        <v>1523419</v>
      </c>
      <c r="CT72" s="24">
        <f t="shared" si="86"/>
        <v>0</v>
      </c>
      <c r="CU72" s="24">
        <f t="shared" si="86"/>
        <v>0</v>
      </c>
      <c r="CV72" s="24">
        <f t="shared" si="86"/>
        <v>0</v>
      </c>
      <c r="CW72" s="24">
        <f t="shared" si="86"/>
        <v>0</v>
      </c>
      <c r="CX72" s="24">
        <f t="shared" si="86"/>
        <v>0</v>
      </c>
      <c r="CY72" s="24">
        <f t="shared" si="88"/>
        <v>0</v>
      </c>
      <c r="CZ72" s="24">
        <f t="shared" si="88"/>
        <v>0</v>
      </c>
      <c r="DA72" s="24">
        <f t="shared" si="88"/>
        <v>0</v>
      </c>
      <c r="DB72" s="24">
        <f t="shared" si="88"/>
        <v>0</v>
      </c>
      <c r="DC72" s="24">
        <f t="shared" si="88"/>
        <v>0</v>
      </c>
      <c r="DD72" s="24">
        <f t="shared" si="88"/>
        <v>0</v>
      </c>
      <c r="DE72" s="24"/>
      <c r="DF72" s="24">
        <f t="shared" si="98"/>
        <v>0</v>
      </c>
      <c r="DG72" s="24">
        <f t="shared" si="98"/>
        <v>0</v>
      </c>
      <c r="DH72" s="24">
        <f t="shared" si="98"/>
        <v>0</v>
      </c>
      <c r="DJ72" s="29">
        <f t="shared" si="94"/>
        <v>20000000</v>
      </c>
      <c r="DK72" s="29">
        <f t="shared" si="96"/>
        <v>20000000</v>
      </c>
      <c r="DL72" s="29">
        <f t="shared" si="97"/>
        <v>20000000</v>
      </c>
    </row>
    <row r="73" spans="1:116" ht="33" customHeight="1" x14ac:dyDescent="0.25">
      <c r="A73" s="236" t="s">
        <v>183</v>
      </c>
      <c r="B73" s="250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9">SUM(H73:Z73)</f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92"/>
        <v>0.93945000000000001</v>
      </c>
      <c r="AB73" s="24">
        <f t="shared" si="91"/>
        <v>9394500</v>
      </c>
      <c r="AC73" s="24"/>
      <c r="AD73" s="24"/>
      <c r="AE73" s="24"/>
      <c r="AF73" s="24"/>
      <c r="AG73" s="24">
        <f>+'[2]DICIEMBRE 2016'!$O$4551</f>
        <v>9394500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5"/>
        <v>6.0549999999999993E-2</v>
      </c>
      <c r="AX73" s="24">
        <f t="shared" si="78"/>
        <v>605500</v>
      </c>
      <c r="AY73" s="24">
        <f t="shared" si="79"/>
        <v>0</v>
      </c>
      <c r="AZ73" s="24">
        <f t="shared" si="79"/>
        <v>0</v>
      </c>
      <c r="BA73" s="24">
        <f t="shared" si="79"/>
        <v>0</v>
      </c>
      <c r="BB73" s="24">
        <f t="shared" ref="BB73:BM88" si="100">+K73-AG73</f>
        <v>605500</v>
      </c>
      <c r="BC73" s="24">
        <f t="shared" si="100"/>
        <v>0</v>
      </c>
      <c r="BD73" s="24">
        <f t="shared" si="100"/>
        <v>0</v>
      </c>
      <c r="BE73" s="24">
        <f t="shared" si="100"/>
        <v>0</v>
      </c>
      <c r="BF73" s="24">
        <f t="shared" si="100"/>
        <v>0</v>
      </c>
      <c r="BG73" s="24">
        <f t="shared" si="100"/>
        <v>0</v>
      </c>
      <c r="BH73" s="24">
        <f t="shared" si="100"/>
        <v>0</v>
      </c>
      <c r="BI73" s="24">
        <f t="shared" si="100"/>
        <v>0</v>
      </c>
      <c r="BJ73" s="24">
        <f t="shared" si="100"/>
        <v>0</v>
      </c>
      <c r="BK73" s="24">
        <f t="shared" si="100"/>
        <v>0</v>
      </c>
      <c r="BL73" s="24">
        <f t="shared" si="100"/>
        <v>0</v>
      </c>
      <c r="BM73" s="24">
        <f t="shared" si="100"/>
        <v>0</v>
      </c>
      <c r="BN73" s="24"/>
      <c r="BO73" s="24"/>
      <c r="BP73" s="24">
        <f t="shared" si="81"/>
        <v>0</v>
      </c>
      <c r="BQ73" s="24">
        <f t="shared" ref="BQ73:BQ92" si="101">+Z73-AV73</f>
        <v>0</v>
      </c>
      <c r="BR73" s="25">
        <f t="shared" si="93"/>
        <v>0.93945000000000001</v>
      </c>
      <c r="BS73" s="24">
        <f t="shared" si="83"/>
        <v>9394500</v>
      </c>
      <c r="BT73" s="24"/>
      <c r="BU73" s="24"/>
      <c r="BV73" s="24"/>
      <c r="BW73" s="24"/>
      <c r="BX73" s="24">
        <f>+'[2]DICIEMBRE 2016'!$H$4549</f>
        <v>9394500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84"/>
        <v>6.0549999999999993E-2</v>
      </c>
      <c r="CO73" s="24">
        <f t="shared" si="85"/>
        <v>605500</v>
      </c>
      <c r="CP73" s="24">
        <f t="shared" si="86"/>
        <v>0</v>
      </c>
      <c r="CQ73" s="24">
        <f t="shared" si="86"/>
        <v>0</v>
      </c>
      <c r="CR73" s="24">
        <f t="shared" si="86"/>
        <v>0</v>
      </c>
      <c r="CS73" s="24">
        <f t="shared" si="86"/>
        <v>605500</v>
      </c>
      <c r="CT73" s="24">
        <f t="shared" si="86"/>
        <v>0</v>
      </c>
      <c r="CU73" s="24">
        <f t="shared" si="86"/>
        <v>0</v>
      </c>
      <c r="CV73" s="24">
        <f t="shared" ref="CV73:CX75" si="102">+N73-CA73</f>
        <v>0</v>
      </c>
      <c r="CW73" s="24">
        <f t="shared" si="102"/>
        <v>0</v>
      </c>
      <c r="CX73" s="24">
        <f t="shared" si="102"/>
        <v>0</v>
      </c>
      <c r="CY73" s="24">
        <f t="shared" si="88"/>
        <v>0</v>
      </c>
      <c r="CZ73" s="24">
        <f t="shared" si="88"/>
        <v>0</v>
      </c>
      <c r="DA73" s="24">
        <f t="shared" si="88"/>
        <v>0</v>
      </c>
      <c r="DB73" s="24">
        <f t="shared" ref="DB73:DD84" si="103">+T73-CG73</f>
        <v>0</v>
      </c>
      <c r="DC73" s="24">
        <f t="shared" si="103"/>
        <v>0</v>
      </c>
      <c r="DD73" s="24">
        <f t="shared" si="103"/>
        <v>0</v>
      </c>
      <c r="DE73" s="24"/>
      <c r="DF73" s="24">
        <f t="shared" ref="DF73:DH84" si="104">+X73-CK73</f>
        <v>0</v>
      </c>
      <c r="DG73" s="54">
        <f t="shared" si="104"/>
        <v>0</v>
      </c>
      <c r="DH73" s="24">
        <f t="shared" si="104"/>
        <v>0</v>
      </c>
      <c r="DJ73" s="29">
        <f t="shared" si="94"/>
        <v>10000000</v>
      </c>
      <c r="DK73" s="29">
        <f t="shared" si="96"/>
        <v>10000000</v>
      </c>
      <c r="DL73" s="29">
        <f t="shared" si="97"/>
        <v>10000000</v>
      </c>
    </row>
    <row r="74" spans="1:116" ht="35.25" customHeight="1" x14ac:dyDescent="0.25">
      <c r="A74" s="237"/>
      <c r="B74" s="251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9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92"/>
        <v>1</v>
      </c>
      <c r="AB74" s="24">
        <f t="shared" si="91"/>
        <v>17970750</v>
      </c>
      <c r="AC74" s="24"/>
      <c r="AD74" s="24"/>
      <c r="AE74" s="24"/>
      <c r="AF74" s="24"/>
      <c r="AG74" s="24">
        <f>+'[9]AGOSTO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5"/>
        <v>0</v>
      </c>
      <c r="AX74" s="24">
        <f t="shared" si="78"/>
        <v>0</v>
      </c>
      <c r="AY74" s="24">
        <f t="shared" si="79"/>
        <v>0</v>
      </c>
      <c r="AZ74" s="24">
        <f t="shared" si="79"/>
        <v>0</v>
      </c>
      <c r="BA74" s="24">
        <f t="shared" si="79"/>
        <v>0</v>
      </c>
      <c r="BB74" s="24">
        <f t="shared" si="100"/>
        <v>0</v>
      </c>
      <c r="BC74" s="24">
        <f t="shared" si="100"/>
        <v>0</v>
      </c>
      <c r="BD74" s="24">
        <f t="shared" si="100"/>
        <v>0</v>
      </c>
      <c r="BE74" s="24">
        <f t="shared" si="100"/>
        <v>0</v>
      </c>
      <c r="BF74" s="24">
        <f t="shared" si="100"/>
        <v>0</v>
      </c>
      <c r="BG74" s="24">
        <f t="shared" si="100"/>
        <v>0</v>
      </c>
      <c r="BH74" s="24">
        <f t="shared" si="100"/>
        <v>0</v>
      </c>
      <c r="BI74" s="24">
        <f t="shared" si="100"/>
        <v>0</v>
      </c>
      <c r="BJ74" s="24">
        <f t="shared" si="100"/>
        <v>0</v>
      </c>
      <c r="BK74" s="24">
        <f t="shared" si="100"/>
        <v>0</v>
      </c>
      <c r="BL74" s="24">
        <f t="shared" si="100"/>
        <v>0</v>
      </c>
      <c r="BM74" s="24">
        <f t="shared" si="100"/>
        <v>0</v>
      </c>
      <c r="BN74" s="24"/>
      <c r="BO74" s="24"/>
      <c r="BP74" s="24">
        <f t="shared" si="81"/>
        <v>0</v>
      </c>
      <c r="BQ74" s="24">
        <f t="shared" si="101"/>
        <v>0</v>
      </c>
      <c r="BR74" s="25">
        <f t="shared" si="93"/>
        <v>1</v>
      </c>
      <c r="BS74" s="24">
        <f t="shared" si="83"/>
        <v>17970750</v>
      </c>
      <c r="BT74" s="24"/>
      <c r="BU74" s="24"/>
      <c r="BV74" s="24"/>
      <c r="BW74" s="24"/>
      <c r="BX74" s="24">
        <f>+'[3]ENERO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84"/>
        <v>0</v>
      </c>
      <c r="CO74" s="24">
        <f t="shared" si="85"/>
        <v>0</v>
      </c>
      <c r="CP74" s="24">
        <f t="shared" si="86"/>
        <v>0</v>
      </c>
      <c r="CQ74" s="24">
        <f t="shared" si="86"/>
        <v>0</v>
      </c>
      <c r="CR74" s="24">
        <f t="shared" si="86"/>
        <v>0</v>
      </c>
      <c r="CS74" s="24">
        <f t="shared" si="86"/>
        <v>0</v>
      </c>
      <c r="CT74" s="24">
        <f t="shared" si="86"/>
        <v>0</v>
      </c>
      <c r="CU74" s="24">
        <f t="shared" si="86"/>
        <v>0</v>
      </c>
      <c r="CV74" s="24">
        <f t="shared" si="102"/>
        <v>0</v>
      </c>
      <c r="CW74" s="24">
        <f t="shared" si="102"/>
        <v>0</v>
      </c>
      <c r="CX74" s="24">
        <f t="shared" si="102"/>
        <v>0</v>
      </c>
      <c r="CY74" s="24">
        <f t="shared" si="88"/>
        <v>0</v>
      </c>
      <c r="CZ74" s="24">
        <f t="shared" si="88"/>
        <v>0</v>
      </c>
      <c r="DA74" s="24">
        <f t="shared" si="88"/>
        <v>0</v>
      </c>
      <c r="DB74" s="24">
        <f t="shared" si="103"/>
        <v>0</v>
      </c>
      <c r="DC74" s="24">
        <f t="shared" si="103"/>
        <v>0</v>
      </c>
      <c r="DD74" s="24">
        <f t="shared" si="103"/>
        <v>0</v>
      </c>
      <c r="DE74" s="24"/>
      <c r="DF74" s="24">
        <f t="shared" si="104"/>
        <v>0</v>
      </c>
      <c r="DG74" s="54">
        <f t="shared" si="104"/>
        <v>0</v>
      </c>
      <c r="DH74" s="24">
        <f t="shared" si="104"/>
        <v>0</v>
      </c>
      <c r="DJ74" s="29">
        <f t="shared" si="94"/>
        <v>17970750</v>
      </c>
      <c r="DK74" s="29">
        <f t="shared" si="96"/>
        <v>17970750</v>
      </c>
      <c r="DL74" s="29">
        <f t="shared" si="97"/>
        <v>17970750</v>
      </c>
    </row>
    <row r="75" spans="1:116" ht="33.75" customHeight="1" x14ac:dyDescent="0.25">
      <c r="A75" s="237"/>
      <c r="B75" s="251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9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92"/>
        <v>1</v>
      </c>
      <c r="AB75" s="24">
        <f t="shared" si="91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+'[13]ABRIL 2016'!$G$1547</f>
        <v>1000000</v>
      </c>
      <c r="AW75" s="25">
        <f t="shared" si="95"/>
        <v>0</v>
      </c>
      <c r="AX75" s="24">
        <f t="shared" si="78"/>
        <v>0</v>
      </c>
      <c r="AY75" s="24">
        <f t="shared" si="79"/>
        <v>0</v>
      </c>
      <c r="AZ75" s="24">
        <f t="shared" si="79"/>
        <v>0</v>
      </c>
      <c r="BA75" s="24">
        <f t="shared" si="79"/>
        <v>0</v>
      </c>
      <c r="BB75" s="24">
        <f t="shared" si="100"/>
        <v>0</v>
      </c>
      <c r="BC75" s="24">
        <f t="shared" si="100"/>
        <v>0</v>
      </c>
      <c r="BD75" s="24">
        <f t="shared" si="100"/>
        <v>0</v>
      </c>
      <c r="BE75" s="24">
        <f t="shared" si="100"/>
        <v>0</v>
      </c>
      <c r="BF75" s="24">
        <f t="shared" si="100"/>
        <v>0</v>
      </c>
      <c r="BG75" s="24">
        <f t="shared" si="100"/>
        <v>0</v>
      </c>
      <c r="BH75" s="24">
        <f t="shared" si="100"/>
        <v>0</v>
      </c>
      <c r="BI75" s="24">
        <f t="shared" si="100"/>
        <v>0</v>
      </c>
      <c r="BJ75" s="24">
        <f t="shared" si="100"/>
        <v>0</v>
      </c>
      <c r="BK75" s="24">
        <f t="shared" si="100"/>
        <v>0</v>
      </c>
      <c r="BL75" s="24">
        <f t="shared" si="100"/>
        <v>0</v>
      </c>
      <c r="BM75" s="24">
        <f t="shared" si="100"/>
        <v>0</v>
      </c>
      <c r="BN75" s="24"/>
      <c r="BO75" s="24"/>
      <c r="BP75" s="24">
        <f t="shared" si="81"/>
        <v>0</v>
      </c>
      <c r="BQ75" s="24">
        <f t="shared" si="101"/>
        <v>0</v>
      </c>
      <c r="BR75" s="25">
        <f t="shared" si="93"/>
        <v>1</v>
      </c>
      <c r="BS75" s="24">
        <f t="shared" si="83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+'[13]ABRIL 2016'!$H$1547</f>
        <v>1000000</v>
      </c>
      <c r="CN75" s="25">
        <f t="shared" si="84"/>
        <v>0</v>
      </c>
      <c r="CO75" s="24">
        <f t="shared" si="85"/>
        <v>0</v>
      </c>
      <c r="CP75" s="24">
        <f t="shared" si="86"/>
        <v>0</v>
      </c>
      <c r="CQ75" s="24">
        <f t="shared" si="86"/>
        <v>0</v>
      </c>
      <c r="CR75" s="24">
        <f t="shared" si="86"/>
        <v>0</v>
      </c>
      <c r="CS75" s="24">
        <f t="shared" si="86"/>
        <v>0</v>
      </c>
      <c r="CT75" s="24">
        <f t="shared" si="86"/>
        <v>0</v>
      </c>
      <c r="CU75" s="24">
        <f t="shared" si="86"/>
        <v>0</v>
      </c>
      <c r="CV75" s="24">
        <f t="shared" si="102"/>
        <v>0</v>
      </c>
      <c r="CW75" s="24">
        <f t="shared" si="102"/>
        <v>0</v>
      </c>
      <c r="CX75" s="24">
        <f t="shared" si="102"/>
        <v>0</v>
      </c>
      <c r="CY75" s="24">
        <f t="shared" si="88"/>
        <v>0</v>
      </c>
      <c r="CZ75" s="24">
        <f t="shared" si="88"/>
        <v>0</v>
      </c>
      <c r="DA75" s="24">
        <f t="shared" si="88"/>
        <v>0</v>
      </c>
      <c r="DB75" s="24">
        <f t="shared" si="103"/>
        <v>0</v>
      </c>
      <c r="DC75" s="24">
        <f t="shared" si="103"/>
        <v>0</v>
      </c>
      <c r="DD75" s="24">
        <f t="shared" si="103"/>
        <v>0</v>
      </c>
      <c r="DE75" s="24"/>
      <c r="DF75" s="24">
        <f t="shared" si="104"/>
        <v>0</v>
      </c>
      <c r="DG75" s="54">
        <f t="shared" si="104"/>
        <v>0</v>
      </c>
      <c r="DH75" s="24">
        <f t="shared" si="104"/>
        <v>0</v>
      </c>
      <c r="DJ75" s="29">
        <f t="shared" si="94"/>
        <v>1000000</v>
      </c>
      <c r="DK75" s="29">
        <f t="shared" si="96"/>
        <v>1000000</v>
      </c>
      <c r="DL75" s="29">
        <f t="shared" si="97"/>
        <v>1000000</v>
      </c>
    </row>
    <row r="76" spans="1:116" ht="33" customHeight="1" x14ac:dyDescent="0.25">
      <c r="A76" s="237"/>
      <c r="B76" s="251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9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92"/>
        <v>#DIV/0!</v>
      </c>
      <c r="AB76" s="24">
        <f t="shared" si="91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5"/>
        <v>#DIV/0!</v>
      </c>
      <c r="AX76" s="24">
        <f t="shared" si="78"/>
        <v>0</v>
      </c>
      <c r="AY76" s="24">
        <f t="shared" si="79"/>
        <v>0</v>
      </c>
      <c r="AZ76" s="24">
        <f t="shared" si="79"/>
        <v>0</v>
      </c>
      <c r="BA76" s="24">
        <f t="shared" si="79"/>
        <v>0</v>
      </c>
      <c r="BB76" s="24">
        <f t="shared" si="100"/>
        <v>0</v>
      </c>
      <c r="BC76" s="24"/>
      <c r="BD76" s="24"/>
      <c r="BE76" s="24"/>
      <c r="BF76" s="24"/>
      <c r="BG76" s="24"/>
      <c r="BH76" s="24">
        <f t="shared" si="100"/>
        <v>0</v>
      </c>
      <c r="BI76" s="24">
        <f t="shared" si="100"/>
        <v>0</v>
      </c>
      <c r="BJ76" s="24">
        <f t="shared" si="100"/>
        <v>0</v>
      </c>
      <c r="BK76" s="24"/>
      <c r="BL76" s="24">
        <f t="shared" si="100"/>
        <v>0</v>
      </c>
      <c r="BM76" s="24">
        <f t="shared" si="100"/>
        <v>0</v>
      </c>
      <c r="BN76" s="24"/>
      <c r="BO76" s="24"/>
      <c r="BP76" s="24">
        <f t="shared" si="81"/>
        <v>0</v>
      </c>
      <c r="BQ76" s="24">
        <f t="shared" si="101"/>
        <v>0</v>
      </c>
      <c r="BR76" s="25" t="e">
        <f t="shared" si="93"/>
        <v>#DIV/0!</v>
      </c>
      <c r="BS76" s="24">
        <f t="shared" si="83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84"/>
        <v>#DIV/0!</v>
      </c>
      <c r="CO76" s="24">
        <f t="shared" si="85"/>
        <v>0</v>
      </c>
      <c r="CP76" s="24">
        <f t="shared" si="86"/>
        <v>0</v>
      </c>
      <c r="CQ76" s="24">
        <f t="shared" si="86"/>
        <v>0</v>
      </c>
      <c r="CR76" s="24">
        <f t="shared" si="86"/>
        <v>0</v>
      </c>
      <c r="CS76" s="24">
        <f t="shared" si="86"/>
        <v>0</v>
      </c>
      <c r="CT76" s="24"/>
      <c r="CU76" s="24"/>
      <c r="CV76" s="24"/>
      <c r="CW76" s="24"/>
      <c r="CX76" s="24"/>
      <c r="CY76" s="24">
        <f t="shared" si="88"/>
        <v>0</v>
      </c>
      <c r="CZ76" s="24">
        <f t="shared" si="88"/>
        <v>0</v>
      </c>
      <c r="DA76" s="24">
        <f t="shared" si="88"/>
        <v>0</v>
      </c>
      <c r="DB76" s="24">
        <f t="shared" si="103"/>
        <v>0</v>
      </c>
      <c r="DC76" s="24">
        <f t="shared" si="103"/>
        <v>0</v>
      </c>
      <c r="DD76" s="24">
        <f t="shared" si="103"/>
        <v>0</v>
      </c>
      <c r="DE76" s="24"/>
      <c r="DF76" s="24"/>
      <c r="DG76" s="54"/>
      <c r="DH76" s="24">
        <f t="shared" si="104"/>
        <v>0</v>
      </c>
      <c r="DJ76" s="29">
        <f t="shared" si="94"/>
        <v>0</v>
      </c>
      <c r="DK76" s="29">
        <f t="shared" si="96"/>
        <v>0</v>
      </c>
      <c r="DL76" s="29">
        <f t="shared" si="97"/>
        <v>0</v>
      </c>
    </row>
    <row r="77" spans="1:116" ht="30" x14ac:dyDescent="0.25">
      <c r="A77" s="237"/>
      <c r="B77" s="251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9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92"/>
        <v>#DIV/0!</v>
      </c>
      <c r="AB77" s="24">
        <f t="shared" si="91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5"/>
        <v>#DIV/0!</v>
      </c>
      <c r="AX77" s="24">
        <f t="shared" si="78"/>
        <v>0</v>
      </c>
      <c r="AY77" s="24">
        <f t="shared" si="79"/>
        <v>0</v>
      </c>
      <c r="AZ77" s="24">
        <f t="shared" si="79"/>
        <v>0</v>
      </c>
      <c r="BA77" s="24">
        <f t="shared" si="79"/>
        <v>0</v>
      </c>
      <c r="BB77" s="24">
        <f t="shared" si="100"/>
        <v>0</v>
      </c>
      <c r="BC77" s="24"/>
      <c r="BD77" s="24"/>
      <c r="BE77" s="24"/>
      <c r="BF77" s="24"/>
      <c r="BG77" s="24"/>
      <c r="BH77" s="24">
        <f t="shared" si="100"/>
        <v>0</v>
      </c>
      <c r="BI77" s="24">
        <f t="shared" si="100"/>
        <v>0</v>
      </c>
      <c r="BJ77" s="24">
        <f t="shared" si="100"/>
        <v>0</v>
      </c>
      <c r="BK77" s="24"/>
      <c r="BL77" s="24">
        <f t="shared" si="100"/>
        <v>0</v>
      </c>
      <c r="BM77" s="24">
        <f t="shared" si="100"/>
        <v>0</v>
      </c>
      <c r="BN77" s="24"/>
      <c r="BO77" s="24"/>
      <c r="BP77" s="24">
        <f t="shared" si="81"/>
        <v>0</v>
      </c>
      <c r="BQ77" s="24">
        <f t="shared" si="101"/>
        <v>0</v>
      </c>
      <c r="BR77" s="25" t="e">
        <f t="shared" si="93"/>
        <v>#DIV/0!</v>
      </c>
      <c r="BS77" s="24">
        <f t="shared" si="83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84"/>
        <v>#DIV/0!</v>
      </c>
      <c r="CO77" s="24">
        <f t="shared" si="85"/>
        <v>0</v>
      </c>
      <c r="CP77" s="24">
        <f t="shared" ref="CP77:CU92" si="105">H77-BU77</f>
        <v>0</v>
      </c>
      <c r="CQ77" s="24">
        <f t="shared" si="105"/>
        <v>0</v>
      </c>
      <c r="CR77" s="24">
        <f t="shared" si="105"/>
        <v>0</v>
      </c>
      <c r="CS77" s="24">
        <f t="shared" si="105"/>
        <v>0</v>
      </c>
      <c r="CT77" s="24"/>
      <c r="CU77" s="24"/>
      <c r="CV77" s="24"/>
      <c r="CW77" s="24"/>
      <c r="CX77" s="24"/>
      <c r="CY77" s="24">
        <f t="shared" si="88"/>
        <v>0</v>
      </c>
      <c r="CZ77" s="24">
        <f t="shared" si="88"/>
        <v>0</v>
      </c>
      <c r="DA77" s="24">
        <f t="shared" si="88"/>
        <v>0</v>
      </c>
      <c r="DB77" s="24">
        <f t="shared" si="103"/>
        <v>0</v>
      </c>
      <c r="DC77" s="24">
        <f t="shared" si="103"/>
        <v>0</v>
      </c>
      <c r="DD77" s="24">
        <f t="shared" si="103"/>
        <v>0</v>
      </c>
      <c r="DE77" s="24"/>
      <c r="DF77" s="24"/>
      <c r="DG77" s="54"/>
      <c r="DH77" s="24">
        <f t="shared" si="104"/>
        <v>0</v>
      </c>
      <c r="DJ77" s="29">
        <f t="shared" si="94"/>
        <v>0</v>
      </c>
      <c r="DK77" s="29">
        <f t="shared" si="96"/>
        <v>0</v>
      </c>
      <c r="DL77" s="29">
        <f t="shared" si="97"/>
        <v>0</v>
      </c>
    </row>
    <row r="78" spans="1:116" ht="21" customHeight="1" x14ac:dyDescent="0.25">
      <c r="A78" s="237"/>
      <c r="B78" s="251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9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92"/>
        <v>0.99725575071450379</v>
      </c>
      <c r="AB78" s="24">
        <f t="shared" si="91"/>
        <v>26955075</v>
      </c>
      <c r="AC78" s="24"/>
      <c r="AD78" s="24"/>
      <c r="AE78" s="24"/>
      <c r="AF78" s="24"/>
      <c r="AG78" s="24">
        <f>+'[10]SEPTIEMBRE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5"/>
        <v>2.7442492854962142E-3</v>
      </c>
      <c r="AX78" s="24">
        <f t="shared" si="78"/>
        <v>74175</v>
      </c>
      <c r="AY78" s="24">
        <f t="shared" si="79"/>
        <v>0</v>
      </c>
      <c r="AZ78" s="24">
        <f t="shared" si="79"/>
        <v>0</v>
      </c>
      <c r="BA78" s="24">
        <f t="shared" si="79"/>
        <v>0</v>
      </c>
      <c r="BB78" s="24">
        <f t="shared" si="100"/>
        <v>74175</v>
      </c>
      <c r="BC78" s="24"/>
      <c r="BD78" s="24"/>
      <c r="BE78" s="24"/>
      <c r="BF78" s="24"/>
      <c r="BG78" s="24"/>
      <c r="BH78" s="24">
        <f t="shared" si="100"/>
        <v>0</v>
      </c>
      <c r="BI78" s="24">
        <f t="shared" si="100"/>
        <v>0</v>
      </c>
      <c r="BJ78" s="24">
        <f t="shared" si="100"/>
        <v>0</v>
      </c>
      <c r="BK78" s="24">
        <f t="shared" si="100"/>
        <v>0</v>
      </c>
      <c r="BL78" s="24">
        <f t="shared" si="100"/>
        <v>0</v>
      </c>
      <c r="BM78" s="24">
        <f t="shared" si="100"/>
        <v>0</v>
      </c>
      <c r="BN78" s="24"/>
      <c r="BO78" s="24"/>
      <c r="BP78" s="24">
        <f t="shared" si="81"/>
        <v>0</v>
      </c>
      <c r="BQ78" s="24">
        <f t="shared" si="101"/>
        <v>0</v>
      </c>
      <c r="BR78" s="25">
        <f t="shared" si="93"/>
        <v>0.99725575071450379</v>
      </c>
      <c r="BS78" s="24">
        <f t="shared" si="83"/>
        <v>26955075</v>
      </c>
      <c r="BT78" s="24"/>
      <c r="BU78" s="24"/>
      <c r="BV78" s="24"/>
      <c r="BW78" s="24"/>
      <c r="BX78" s="24">
        <f>+'[10]SEPTIEMBRE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84"/>
        <v>2.7442492854962142E-3</v>
      </c>
      <c r="CO78" s="24">
        <f t="shared" si="85"/>
        <v>74175</v>
      </c>
      <c r="CP78" s="24">
        <f t="shared" si="105"/>
        <v>0</v>
      </c>
      <c r="CQ78" s="24">
        <f t="shared" si="105"/>
        <v>0</v>
      </c>
      <c r="CR78" s="24">
        <f t="shared" si="105"/>
        <v>0</v>
      </c>
      <c r="CS78" s="24">
        <f t="shared" si="105"/>
        <v>74175</v>
      </c>
      <c r="CT78" s="24"/>
      <c r="CU78" s="24"/>
      <c r="CV78" s="24"/>
      <c r="CW78" s="24"/>
      <c r="CX78" s="24"/>
      <c r="CY78" s="24">
        <f t="shared" si="88"/>
        <v>0</v>
      </c>
      <c r="CZ78" s="24">
        <f t="shared" si="88"/>
        <v>0</v>
      </c>
      <c r="DA78" s="24">
        <f t="shared" si="88"/>
        <v>0</v>
      </c>
      <c r="DB78" s="24">
        <f t="shared" si="103"/>
        <v>0</v>
      </c>
      <c r="DC78" s="24">
        <f t="shared" si="103"/>
        <v>0</v>
      </c>
      <c r="DD78" s="24">
        <f t="shared" si="103"/>
        <v>0</v>
      </c>
      <c r="DE78" s="24"/>
      <c r="DF78" s="24"/>
      <c r="DG78" s="54"/>
      <c r="DH78" s="24">
        <f t="shared" si="104"/>
        <v>0</v>
      </c>
      <c r="DJ78" s="29">
        <f t="shared" si="94"/>
        <v>27029250</v>
      </c>
      <c r="DK78" s="29">
        <f t="shared" si="96"/>
        <v>27029250</v>
      </c>
      <c r="DL78" s="29">
        <f t="shared" si="97"/>
        <v>27029250</v>
      </c>
    </row>
    <row r="79" spans="1:116" ht="30" x14ac:dyDescent="0.25">
      <c r="A79" s="237"/>
      <c r="B79" s="252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9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92"/>
        <v>0.81124759999999996</v>
      </c>
      <c r="AB79" s="24">
        <f t="shared" si="91"/>
        <v>4056238</v>
      </c>
      <c r="AC79" s="24"/>
      <c r="AD79" s="24"/>
      <c r="AE79" s="24"/>
      <c r="AF79" s="24"/>
      <c r="AG79" s="24">
        <f>+'[5]NOVIEMBRE 2016'!$G$4356</f>
        <v>4056238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5"/>
        <v>0.18875240000000004</v>
      </c>
      <c r="AX79" s="24">
        <f t="shared" si="78"/>
        <v>943762</v>
      </c>
      <c r="AY79" s="24">
        <f t="shared" si="79"/>
        <v>0</v>
      </c>
      <c r="AZ79" s="24">
        <f t="shared" si="79"/>
        <v>0</v>
      </c>
      <c r="BA79" s="24">
        <f t="shared" si="79"/>
        <v>0</v>
      </c>
      <c r="BB79" s="24">
        <f t="shared" si="100"/>
        <v>943762</v>
      </c>
      <c r="BC79" s="24"/>
      <c r="BD79" s="24"/>
      <c r="BE79" s="24"/>
      <c r="BF79" s="24"/>
      <c r="BG79" s="24"/>
      <c r="BH79" s="24">
        <f t="shared" si="100"/>
        <v>0</v>
      </c>
      <c r="BI79" s="24">
        <f t="shared" si="100"/>
        <v>0</v>
      </c>
      <c r="BJ79" s="24">
        <f t="shared" si="100"/>
        <v>0</v>
      </c>
      <c r="BK79" s="24">
        <f t="shared" si="100"/>
        <v>0</v>
      </c>
      <c r="BL79" s="24">
        <f t="shared" si="100"/>
        <v>0</v>
      </c>
      <c r="BM79" s="24">
        <f t="shared" si="100"/>
        <v>0</v>
      </c>
      <c r="BN79" s="24"/>
      <c r="BO79" s="24"/>
      <c r="BP79" s="24">
        <f t="shared" si="81"/>
        <v>0</v>
      </c>
      <c r="BQ79" s="24">
        <f t="shared" si="101"/>
        <v>0</v>
      </c>
      <c r="BR79" s="25">
        <f t="shared" si="93"/>
        <v>0.81124759999999996</v>
      </c>
      <c r="BS79" s="24">
        <f t="shared" si="83"/>
        <v>4056238</v>
      </c>
      <c r="BT79" s="24"/>
      <c r="BU79" s="24"/>
      <c r="BV79" s="24"/>
      <c r="BW79" s="24"/>
      <c r="BX79" s="24">
        <f>+'[5]NOVIEMBRE 2016'!$H$4356</f>
        <v>4056238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84"/>
        <v>0.18875240000000004</v>
      </c>
      <c r="CO79" s="24">
        <f t="shared" si="85"/>
        <v>943762</v>
      </c>
      <c r="CP79" s="24">
        <f t="shared" si="105"/>
        <v>0</v>
      </c>
      <c r="CQ79" s="24">
        <f t="shared" si="105"/>
        <v>0</v>
      </c>
      <c r="CR79" s="24">
        <f t="shared" si="105"/>
        <v>0</v>
      </c>
      <c r="CS79" s="24">
        <f t="shared" si="105"/>
        <v>943762</v>
      </c>
      <c r="CT79" s="24"/>
      <c r="CU79" s="24"/>
      <c r="CV79" s="24"/>
      <c r="CW79" s="24"/>
      <c r="CX79" s="24"/>
      <c r="CY79" s="24">
        <f t="shared" si="88"/>
        <v>0</v>
      </c>
      <c r="CZ79" s="24">
        <f t="shared" si="88"/>
        <v>0</v>
      </c>
      <c r="DA79" s="24">
        <f t="shared" si="88"/>
        <v>0</v>
      </c>
      <c r="DB79" s="24">
        <f t="shared" si="103"/>
        <v>0</v>
      </c>
      <c r="DC79" s="24">
        <f t="shared" si="103"/>
        <v>0</v>
      </c>
      <c r="DD79" s="24">
        <f t="shared" si="103"/>
        <v>0</v>
      </c>
      <c r="DE79" s="24"/>
      <c r="DF79" s="24"/>
      <c r="DG79" s="54"/>
      <c r="DH79" s="24">
        <f t="shared" si="104"/>
        <v>0</v>
      </c>
      <c r="DJ79" s="29">
        <f t="shared" si="94"/>
        <v>5000000</v>
      </c>
      <c r="DK79" s="29">
        <f t="shared" si="96"/>
        <v>5000000</v>
      </c>
      <c r="DL79" s="29">
        <f t="shared" si="97"/>
        <v>5000000</v>
      </c>
    </row>
    <row r="80" spans="1:116" ht="34.5" customHeight="1" x14ac:dyDescent="0.25">
      <c r="A80" s="237"/>
      <c r="B80" s="239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9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92"/>
        <v>1</v>
      </c>
      <c r="AB80" s="24">
        <f t="shared" si="91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5"/>
        <v>0</v>
      </c>
      <c r="AX80" s="24">
        <f t="shared" si="78"/>
        <v>0</v>
      </c>
      <c r="AY80" s="24">
        <f t="shared" si="79"/>
        <v>0</v>
      </c>
      <c r="AZ80" s="24">
        <f t="shared" si="79"/>
        <v>0</v>
      </c>
      <c r="BA80" s="24">
        <f t="shared" si="79"/>
        <v>0</v>
      </c>
      <c r="BB80" s="24">
        <f t="shared" si="100"/>
        <v>0</v>
      </c>
      <c r="BC80" s="24">
        <f t="shared" si="100"/>
        <v>0</v>
      </c>
      <c r="BD80" s="24">
        <f t="shared" si="100"/>
        <v>0</v>
      </c>
      <c r="BE80" s="24">
        <f t="shared" si="100"/>
        <v>0</v>
      </c>
      <c r="BF80" s="24">
        <f t="shared" si="100"/>
        <v>0</v>
      </c>
      <c r="BG80" s="24">
        <f t="shared" si="100"/>
        <v>0</v>
      </c>
      <c r="BH80" s="24">
        <f t="shared" si="100"/>
        <v>0</v>
      </c>
      <c r="BI80" s="24">
        <f t="shared" si="100"/>
        <v>0</v>
      </c>
      <c r="BJ80" s="24">
        <f t="shared" si="100"/>
        <v>0</v>
      </c>
      <c r="BK80" s="24">
        <f t="shared" si="100"/>
        <v>0</v>
      </c>
      <c r="BL80" s="24">
        <f t="shared" si="100"/>
        <v>0</v>
      </c>
      <c r="BM80" s="24">
        <f t="shared" si="100"/>
        <v>0</v>
      </c>
      <c r="BN80" s="24"/>
      <c r="BO80" s="24"/>
      <c r="BP80" s="24">
        <f t="shared" si="81"/>
        <v>0</v>
      </c>
      <c r="BQ80" s="24">
        <f t="shared" si="101"/>
        <v>0</v>
      </c>
      <c r="BR80" s="25">
        <f t="shared" si="93"/>
        <v>1</v>
      </c>
      <c r="BS80" s="24">
        <f t="shared" si="83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84"/>
        <v>0</v>
      </c>
      <c r="CO80" s="24">
        <f t="shared" si="85"/>
        <v>0</v>
      </c>
      <c r="CP80" s="24">
        <f t="shared" si="105"/>
        <v>0</v>
      </c>
      <c r="CQ80" s="24">
        <f t="shared" si="105"/>
        <v>0</v>
      </c>
      <c r="CR80" s="24">
        <f t="shared" si="105"/>
        <v>0</v>
      </c>
      <c r="CS80" s="24">
        <f t="shared" si="105"/>
        <v>0</v>
      </c>
      <c r="CT80" s="24">
        <f t="shared" si="105"/>
        <v>0</v>
      </c>
      <c r="CU80" s="24">
        <f t="shared" si="105"/>
        <v>0</v>
      </c>
      <c r="CV80" s="24">
        <f t="shared" ref="CV80:CX84" si="106">+N80-CA80</f>
        <v>0</v>
      </c>
      <c r="CW80" s="24">
        <f t="shared" si="106"/>
        <v>0</v>
      </c>
      <c r="CX80" s="24">
        <f t="shared" si="106"/>
        <v>0</v>
      </c>
      <c r="CY80" s="24">
        <f t="shared" si="88"/>
        <v>0</v>
      </c>
      <c r="CZ80" s="24">
        <f t="shared" si="88"/>
        <v>0</v>
      </c>
      <c r="DA80" s="24">
        <f t="shared" si="88"/>
        <v>0</v>
      </c>
      <c r="DB80" s="24">
        <f t="shared" si="103"/>
        <v>0</v>
      </c>
      <c r="DC80" s="24">
        <f t="shared" si="103"/>
        <v>0</v>
      </c>
      <c r="DD80" s="24">
        <f t="shared" si="103"/>
        <v>0</v>
      </c>
      <c r="DE80" s="24"/>
      <c r="DF80" s="24">
        <f t="shared" ref="DF80:DG84" si="107">+X80-CK80</f>
        <v>0</v>
      </c>
      <c r="DG80" s="54">
        <f t="shared" si="107"/>
        <v>0</v>
      </c>
      <c r="DH80" s="24">
        <f t="shared" si="104"/>
        <v>0</v>
      </c>
      <c r="DJ80" s="29">
        <f t="shared" si="94"/>
        <v>10000000</v>
      </c>
      <c r="DK80" s="29">
        <f t="shared" si="96"/>
        <v>10000000</v>
      </c>
      <c r="DL80" s="29">
        <f t="shared" si="97"/>
        <v>10000000</v>
      </c>
    </row>
    <row r="81" spans="1:117" ht="30.75" customHeight="1" x14ac:dyDescent="0.25">
      <c r="A81" s="237"/>
      <c r="B81" s="241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92"/>
        <v>1</v>
      </c>
      <c r="AB81" s="24">
        <f t="shared" si="91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5"/>
        <v>0</v>
      </c>
      <c r="AX81" s="24">
        <f t="shared" si="78"/>
        <v>0</v>
      </c>
      <c r="AY81" s="24">
        <f t="shared" si="79"/>
        <v>0</v>
      </c>
      <c r="AZ81" s="24">
        <f t="shared" si="79"/>
        <v>0</v>
      </c>
      <c r="BA81" s="24">
        <f t="shared" si="79"/>
        <v>0</v>
      </c>
      <c r="BB81" s="24">
        <f t="shared" si="100"/>
        <v>0</v>
      </c>
      <c r="BC81" s="24">
        <f t="shared" si="100"/>
        <v>0</v>
      </c>
      <c r="BD81" s="24">
        <f t="shared" si="100"/>
        <v>0</v>
      </c>
      <c r="BE81" s="24">
        <f t="shared" si="100"/>
        <v>0</v>
      </c>
      <c r="BF81" s="24">
        <f t="shared" si="100"/>
        <v>0</v>
      </c>
      <c r="BG81" s="24">
        <f t="shared" si="100"/>
        <v>0</v>
      </c>
      <c r="BH81" s="24">
        <f t="shared" si="100"/>
        <v>0</v>
      </c>
      <c r="BI81" s="24">
        <f t="shared" si="100"/>
        <v>0</v>
      </c>
      <c r="BJ81" s="24">
        <f t="shared" si="100"/>
        <v>0</v>
      </c>
      <c r="BK81" s="24">
        <f t="shared" si="100"/>
        <v>0</v>
      </c>
      <c r="BL81" s="24">
        <f t="shared" si="100"/>
        <v>0</v>
      </c>
      <c r="BM81" s="24">
        <f t="shared" si="100"/>
        <v>0</v>
      </c>
      <c r="BN81" s="24"/>
      <c r="BO81" s="24"/>
      <c r="BP81" s="24">
        <f t="shared" si="81"/>
        <v>0</v>
      </c>
      <c r="BQ81" s="24">
        <f t="shared" si="101"/>
        <v>0</v>
      </c>
      <c r="BR81" s="25">
        <f t="shared" si="93"/>
        <v>1</v>
      </c>
      <c r="BS81" s="24">
        <f t="shared" si="83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84"/>
        <v>0</v>
      </c>
      <c r="CO81" s="24">
        <f t="shared" si="85"/>
        <v>0</v>
      </c>
      <c r="CP81" s="24">
        <f t="shared" si="105"/>
        <v>0</v>
      </c>
      <c r="CQ81" s="24">
        <f t="shared" si="105"/>
        <v>0</v>
      </c>
      <c r="CR81" s="24">
        <f t="shared" si="105"/>
        <v>0</v>
      </c>
      <c r="CS81" s="24">
        <f t="shared" si="105"/>
        <v>0</v>
      </c>
      <c r="CT81" s="24">
        <f t="shared" si="105"/>
        <v>0</v>
      </c>
      <c r="CU81" s="24">
        <f t="shared" si="105"/>
        <v>0</v>
      </c>
      <c r="CV81" s="24">
        <f t="shared" si="106"/>
        <v>0</v>
      </c>
      <c r="CW81" s="24">
        <f t="shared" si="106"/>
        <v>0</v>
      </c>
      <c r="CX81" s="24">
        <f t="shared" si="106"/>
        <v>0</v>
      </c>
      <c r="CY81" s="24">
        <f t="shared" si="88"/>
        <v>0</v>
      </c>
      <c r="CZ81" s="24">
        <f t="shared" si="88"/>
        <v>0</v>
      </c>
      <c r="DA81" s="24">
        <f t="shared" si="88"/>
        <v>0</v>
      </c>
      <c r="DB81" s="24">
        <f t="shared" si="103"/>
        <v>0</v>
      </c>
      <c r="DC81" s="24">
        <f t="shared" si="103"/>
        <v>0</v>
      </c>
      <c r="DD81" s="24">
        <f t="shared" si="103"/>
        <v>0</v>
      </c>
      <c r="DE81" s="24"/>
      <c r="DF81" s="24">
        <f t="shared" si="107"/>
        <v>0</v>
      </c>
      <c r="DG81" s="54">
        <f t="shared" si="107"/>
        <v>0</v>
      </c>
      <c r="DH81" s="24">
        <f t="shared" si="104"/>
        <v>0</v>
      </c>
      <c r="DJ81" s="29">
        <f t="shared" si="94"/>
        <v>10000000</v>
      </c>
      <c r="DK81" s="29">
        <f t="shared" si="96"/>
        <v>10000000</v>
      </c>
      <c r="DL81" s="29">
        <f t="shared" si="97"/>
        <v>10000000</v>
      </c>
    </row>
    <row r="82" spans="1:117" ht="49.5" customHeight="1" x14ac:dyDescent="0.25">
      <c r="A82" s="237"/>
      <c r="B82" s="239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99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92"/>
        <v>0.97333333333333338</v>
      </c>
      <c r="AB82" s="24">
        <f t="shared" si="91"/>
        <v>14600000</v>
      </c>
      <c r="AC82" s="24"/>
      <c r="AD82" s="24"/>
      <c r="AE82" s="24"/>
      <c r="AF82" s="24"/>
      <c r="AG82" s="24">
        <f>+'[3]ENERO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+'[9]AGOSTO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5"/>
        <v>2.6666666666666616E-2</v>
      </c>
      <c r="AX82" s="24">
        <f t="shared" si="78"/>
        <v>400000</v>
      </c>
      <c r="AY82" s="24">
        <f t="shared" si="79"/>
        <v>0</v>
      </c>
      <c r="AZ82" s="24">
        <f t="shared" si="79"/>
        <v>0</v>
      </c>
      <c r="BA82" s="24">
        <f t="shared" si="79"/>
        <v>0</v>
      </c>
      <c r="BB82" s="24">
        <f t="shared" si="100"/>
        <v>0</v>
      </c>
      <c r="BC82" s="24">
        <f t="shared" si="100"/>
        <v>0</v>
      </c>
      <c r="BD82" s="24">
        <f t="shared" si="100"/>
        <v>0</v>
      </c>
      <c r="BE82" s="24">
        <f t="shared" si="100"/>
        <v>0</v>
      </c>
      <c r="BF82" s="24">
        <f t="shared" si="100"/>
        <v>0</v>
      </c>
      <c r="BG82" s="24">
        <f t="shared" si="100"/>
        <v>0</v>
      </c>
      <c r="BH82" s="24">
        <f t="shared" si="100"/>
        <v>0</v>
      </c>
      <c r="BI82" s="24">
        <f t="shared" si="100"/>
        <v>0</v>
      </c>
      <c r="BJ82" s="24">
        <f t="shared" si="100"/>
        <v>400000</v>
      </c>
      <c r="BK82" s="24">
        <f t="shared" si="100"/>
        <v>0</v>
      </c>
      <c r="BL82" s="24">
        <f t="shared" si="100"/>
        <v>0</v>
      </c>
      <c r="BM82" s="24">
        <f t="shared" si="100"/>
        <v>0</v>
      </c>
      <c r="BN82" s="24"/>
      <c r="BO82" s="24"/>
      <c r="BP82" s="24">
        <f t="shared" si="81"/>
        <v>0</v>
      </c>
      <c r="BQ82" s="24">
        <f t="shared" si="101"/>
        <v>0</v>
      </c>
      <c r="BR82" s="25">
        <f t="shared" si="93"/>
        <v>0.97333333333333338</v>
      </c>
      <c r="BS82" s="24">
        <f t="shared" si="83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+'[9]AGOSTO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84"/>
        <v>2.6666666666666616E-2</v>
      </c>
      <c r="CO82" s="24">
        <f t="shared" si="85"/>
        <v>400000</v>
      </c>
      <c r="CP82" s="24">
        <f t="shared" si="105"/>
        <v>0</v>
      </c>
      <c r="CQ82" s="24">
        <f t="shared" si="105"/>
        <v>0</v>
      </c>
      <c r="CR82" s="24">
        <f t="shared" si="105"/>
        <v>0</v>
      </c>
      <c r="CS82" s="24">
        <f t="shared" si="105"/>
        <v>0</v>
      </c>
      <c r="CT82" s="24">
        <f t="shared" si="105"/>
        <v>0</v>
      </c>
      <c r="CU82" s="24">
        <f t="shared" si="105"/>
        <v>0</v>
      </c>
      <c r="CV82" s="24">
        <f t="shared" si="106"/>
        <v>0</v>
      </c>
      <c r="CW82" s="24">
        <f t="shared" si="106"/>
        <v>0</v>
      </c>
      <c r="CX82" s="24">
        <f t="shared" si="106"/>
        <v>0</v>
      </c>
      <c r="CY82" s="24">
        <f t="shared" si="88"/>
        <v>0</v>
      </c>
      <c r="CZ82" s="24">
        <f t="shared" si="88"/>
        <v>0</v>
      </c>
      <c r="DA82" s="24">
        <f t="shared" si="88"/>
        <v>400000</v>
      </c>
      <c r="DB82" s="24">
        <f t="shared" si="103"/>
        <v>0</v>
      </c>
      <c r="DC82" s="24">
        <f t="shared" si="103"/>
        <v>0</v>
      </c>
      <c r="DD82" s="24">
        <f t="shared" si="103"/>
        <v>0</v>
      </c>
      <c r="DE82" s="24"/>
      <c r="DF82" s="24">
        <f t="shared" si="107"/>
        <v>0</v>
      </c>
      <c r="DG82" s="54">
        <f t="shared" si="107"/>
        <v>0</v>
      </c>
      <c r="DH82" s="24">
        <f t="shared" si="104"/>
        <v>0</v>
      </c>
      <c r="DJ82" s="29">
        <f t="shared" si="94"/>
        <v>15000000</v>
      </c>
      <c r="DK82" s="29">
        <f t="shared" si="96"/>
        <v>15000000</v>
      </c>
      <c r="DL82" s="29">
        <f t="shared" si="97"/>
        <v>15000000</v>
      </c>
    </row>
    <row r="83" spans="1:117" ht="30" x14ac:dyDescent="0.25">
      <c r="A83" s="237"/>
      <c r="B83" s="240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99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92"/>
        <v>0.63860614999999998</v>
      </c>
      <c r="AB83" s="24">
        <f t="shared" si="91"/>
        <v>12772123</v>
      </c>
      <c r="AC83" s="24"/>
      <c r="AD83" s="24"/>
      <c r="AE83" s="24"/>
      <c r="AF83" s="24"/>
      <c r="AG83" s="24">
        <f>+'[4]DICIEMBRE 2016'!$O$4634</f>
        <v>9762123</v>
      </c>
      <c r="AH83" s="24"/>
      <c r="AI83" s="24"/>
      <c r="AJ83" s="24"/>
      <c r="AK83" s="24"/>
      <c r="AL83" s="24"/>
      <c r="AM83" s="24"/>
      <c r="AN83" s="24"/>
      <c r="AO83" s="24">
        <f>+'[5]NOVIEMBRE 2016'!$W$4398</f>
        <v>3010000</v>
      </c>
      <c r="AP83" s="24"/>
      <c r="AQ83" s="24"/>
      <c r="AR83" s="24"/>
      <c r="AS83" s="24"/>
      <c r="AT83" s="24"/>
      <c r="AU83" s="24"/>
      <c r="AV83" s="24"/>
      <c r="AW83" s="25">
        <f t="shared" si="95"/>
        <v>0.36139385000000002</v>
      </c>
      <c r="AX83" s="24">
        <f t="shared" si="78"/>
        <v>7227877</v>
      </c>
      <c r="AY83" s="24">
        <f t="shared" si="79"/>
        <v>0</v>
      </c>
      <c r="AZ83" s="24">
        <f t="shared" si="79"/>
        <v>0</v>
      </c>
      <c r="BA83" s="24">
        <f t="shared" si="79"/>
        <v>0</v>
      </c>
      <c r="BB83" s="24">
        <f t="shared" si="100"/>
        <v>237877</v>
      </c>
      <c r="BC83" s="24">
        <f t="shared" si="100"/>
        <v>0</v>
      </c>
      <c r="BD83" s="24">
        <f t="shared" si="100"/>
        <v>0</v>
      </c>
      <c r="BE83" s="24">
        <f t="shared" si="100"/>
        <v>0</v>
      </c>
      <c r="BF83" s="24">
        <f t="shared" si="100"/>
        <v>0</v>
      </c>
      <c r="BG83" s="24">
        <f t="shared" si="100"/>
        <v>0</v>
      </c>
      <c r="BH83" s="24">
        <f t="shared" si="100"/>
        <v>0</v>
      </c>
      <c r="BI83" s="24">
        <f t="shared" si="100"/>
        <v>0</v>
      </c>
      <c r="BJ83" s="24">
        <f t="shared" si="100"/>
        <v>6990000</v>
      </c>
      <c r="BK83" s="24">
        <f t="shared" si="100"/>
        <v>0</v>
      </c>
      <c r="BL83" s="24">
        <f t="shared" si="100"/>
        <v>0</v>
      </c>
      <c r="BM83" s="24">
        <f t="shared" si="100"/>
        <v>0</v>
      </c>
      <c r="BN83" s="24"/>
      <c r="BO83" s="24"/>
      <c r="BP83" s="24">
        <f t="shared" si="81"/>
        <v>0</v>
      </c>
      <c r="BQ83" s="24">
        <f t="shared" si="101"/>
        <v>0</v>
      </c>
      <c r="BR83" s="25">
        <f t="shared" si="93"/>
        <v>0.63860614999999998</v>
      </c>
      <c r="BS83" s="24">
        <f t="shared" si="83"/>
        <v>12772123</v>
      </c>
      <c r="BT83" s="24"/>
      <c r="BU83" s="24"/>
      <c r="BV83" s="24"/>
      <c r="BW83" s="24"/>
      <c r="BX83" s="24">
        <f>+'[4]DICIEMBRE 2016'!$O$4634</f>
        <v>9762123</v>
      </c>
      <c r="BY83" s="24"/>
      <c r="BZ83" s="24"/>
      <c r="CA83" s="24"/>
      <c r="CB83" s="24"/>
      <c r="CC83" s="24"/>
      <c r="CD83" s="24"/>
      <c r="CE83" s="24"/>
      <c r="CF83" s="24">
        <f>+'[5]NOVIEMBRE 2016'!$W$4398</f>
        <v>3010000</v>
      </c>
      <c r="CG83" s="24"/>
      <c r="CH83" s="24"/>
      <c r="CI83" s="24"/>
      <c r="CJ83" s="24"/>
      <c r="CK83" s="24"/>
      <c r="CL83" s="24"/>
      <c r="CM83" s="24"/>
      <c r="CN83" s="25">
        <f t="shared" si="84"/>
        <v>0.36139385000000002</v>
      </c>
      <c r="CO83" s="24">
        <f t="shared" si="85"/>
        <v>7227877</v>
      </c>
      <c r="CP83" s="24">
        <f t="shared" si="105"/>
        <v>0</v>
      </c>
      <c r="CQ83" s="24">
        <f t="shared" si="105"/>
        <v>0</v>
      </c>
      <c r="CR83" s="24">
        <f t="shared" si="105"/>
        <v>0</v>
      </c>
      <c r="CS83" s="24">
        <f t="shared" si="105"/>
        <v>237877</v>
      </c>
      <c r="CT83" s="24">
        <f t="shared" si="105"/>
        <v>0</v>
      </c>
      <c r="CU83" s="24">
        <f t="shared" si="105"/>
        <v>0</v>
      </c>
      <c r="CV83" s="24">
        <f t="shared" si="106"/>
        <v>0</v>
      </c>
      <c r="CW83" s="24">
        <f t="shared" si="106"/>
        <v>0</v>
      </c>
      <c r="CX83" s="24">
        <f t="shared" si="106"/>
        <v>0</v>
      </c>
      <c r="CY83" s="24">
        <f t="shared" si="88"/>
        <v>0</v>
      </c>
      <c r="CZ83" s="24">
        <f t="shared" si="88"/>
        <v>0</v>
      </c>
      <c r="DA83" s="24">
        <f t="shared" si="88"/>
        <v>6990000</v>
      </c>
      <c r="DB83" s="24">
        <f t="shared" si="103"/>
        <v>0</v>
      </c>
      <c r="DC83" s="24">
        <f t="shared" si="103"/>
        <v>0</v>
      </c>
      <c r="DD83" s="24">
        <f t="shared" si="103"/>
        <v>0</v>
      </c>
      <c r="DE83" s="24"/>
      <c r="DF83" s="24">
        <f t="shared" si="107"/>
        <v>0</v>
      </c>
      <c r="DG83" s="54">
        <f t="shared" si="107"/>
        <v>0</v>
      </c>
      <c r="DH83" s="24">
        <f t="shared" si="104"/>
        <v>0</v>
      </c>
      <c r="DJ83" s="29">
        <f t="shared" si="94"/>
        <v>20000000</v>
      </c>
      <c r="DK83" s="29">
        <f t="shared" si="96"/>
        <v>20000000</v>
      </c>
      <c r="DL83" s="29">
        <f t="shared" si="97"/>
        <v>20000000</v>
      </c>
    </row>
    <row r="84" spans="1:117" ht="30.75" customHeight="1" x14ac:dyDescent="0.25">
      <c r="A84" s="237"/>
      <c r="B84" s="240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99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92"/>
        <v>0.97</v>
      </c>
      <c r="AB84" s="24">
        <f t="shared" si="91"/>
        <v>4850000</v>
      </c>
      <c r="AC84" s="24"/>
      <c r="AD84" s="24"/>
      <c r="AE84" s="24"/>
      <c r="AF84" s="24"/>
      <c r="AG84" s="24">
        <f>+'[2]DICIEMBRE 2016'!$O$4642</f>
        <v>948558</v>
      </c>
      <c r="AH84" s="24"/>
      <c r="AI84" s="24"/>
      <c r="AJ84" s="24"/>
      <c r="AK84" s="24"/>
      <c r="AL84" s="24"/>
      <c r="AM84" s="24"/>
      <c r="AN84" s="24"/>
      <c r="AO84" s="24">
        <f>+'[2]DICIEMBRE 2016'!$W$4642</f>
        <v>3901442</v>
      </c>
      <c r="AP84" s="24"/>
      <c r="AQ84" s="24"/>
      <c r="AR84" s="24"/>
      <c r="AS84" s="24"/>
      <c r="AT84" s="24"/>
      <c r="AU84" s="24"/>
      <c r="AV84" s="24"/>
      <c r="AW84" s="25">
        <f t="shared" si="95"/>
        <v>3.0000000000000027E-2</v>
      </c>
      <c r="AX84" s="24">
        <f t="shared" si="78"/>
        <v>150000</v>
      </c>
      <c r="AY84" s="24">
        <f t="shared" si="79"/>
        <v>0</v>
      </c>
      <c r="AZ84" s="24">
        <f t="shared" si="79"/>
        <v>0</v>
      </c>
      <c r="BA84" s="24">
        <f t="shared" si="79"/>
        <v>0</v>
      </c>
      <c r="BB84" s="24">
        <f t="shared" si="100"/>
        <v>150000</v>
      </c>
      <c r="BC84" s="24">
        <f t="shared" si="100"/>
        <v>0</v>
      </c>
      <c r="BD84" s="24">
        <f t="shared" si="100"/>
        <v>0</v>
      </c>
      <c r="BE84" s="24">
        <f t="shared" si="100"/>
        <v>0</v>
      </c>
      <c r="BF84" s="24">
        <f t="shared" si="100"/>
        <v>0</v>
      </c>
      <c r="BG84" s="24">
        <f t="shared" si="100"/>
        <v>0</v>
      </c>
      <c r="BH84" s="24">
        <f t="shared" si="100"/>
        <v>0</v>
      </c>
      <c r="BI84" s="24">
        <f t="shared" si="100"/>
        <v>0</v>
      </c>
      <c r="BJ84" s="24">
        <f t="shared" si="100"/>
        <v>0</v>
      </c>
      <c r="BK84" s="24">
        <f t="shared" si="100"/>
        <v>0</v>
      </c>
      <c r="BL84" s="24">
        <f t="shared" si="100"/>
        <v>0</v>
      </c>
      <c r="BM84" s="24">
        <f t="shared" si="100"/>
        <v>0</v>
      </c>
      <c r="BN84" s="24"/>
      <c r="BO84" s="24"/>
      <c r="BP84" s="24">
        <f t="shared" si="81"/>
        <v>0</v>
      </c>
      <c r="BQ84" s="24">
        <f t="shared" si="101"/>
        <v>0</v>
      </c>
      <c r="BR84" s="25">
        <f t="shared" si="93"/>
        <v>0.97</v>
      </c>
      <c r="BS84" s="24">
        <f t="shared" si="83"/>
        <v>4850000</v>
      </c>
      <c r="BT84" s="24"/>
      <c r="BU84" s="24"/>
      <c r="BV84" s="24"/>
      <c r="BW84" s="24"/>
      <c r="BX84" s="24">
        <f>+'[5]NOVIEMBRE 2016'!$H$4410</f>
        <v>948558</v>
      </c>
      <c r="BY84" s="24"/>
      <c r="BZ84" s="24"/>
      <c r="CA84" s="24"/>
      <c r="CB84" s="24"/>
      <c r="CC84" s="24"/>
      <c r="CD84" s="24"/>
      <c r="CE84" s="24"/>
      <c r="CF84" s="24">
        <f>+'[5]NOVIEMBRE 2016'!$H$4412</f>
        <v>3901442</v>
      </c>
      <c r="CG84" s="24"/>
      <c r="CH84" s="24"/>
      <c r="CI84" s="24"/>
      <c r="CJ84" s="24"/>
      <c r="CK84" s="24"/>
      <c r="CL84" s="24"/>
      <c r="CM84" s="24"/>
      <c r="CN84" s="25">
        <f t="shared" si="84"/>
        <v>3.0000000000000027E-2</v>
      </c>
      <c r="CO84" s="24">
        <f t="shared" si="85"/>
        <v>150000</v>
      </c>
      <c r="CP84" s="24">
        <f t="shared" si="105"/>
        <v>0</v>
      </c>
      <c r="CQ84" s="24">
        <f t="shared" si="105"/>
        <v>0</v>
      </c>
      <c r="CR84" s="24">
        <f t="shared" si="105"/>
        <v>0</v>
      </c>
      <c r="CS84" s="24">
        <f t="shared" si="105"/>
        <v>150000</v>
      </c>
      <c r="CT84" s="24">
        <f t="shared" si="105"/>
        <v>0</v>
      </c>
      <c r="CU84" s="24">
        <f t="shared" si="105"/>
        <v>0</v>
      </c>
      <c r="CV84" s="24">
        <f t="shared" si="106"/>
        <v>0</v>
      </c>
      <c r="CW84" s="24">
        <f t="shared" si="106"/>
        <v>0</v>
      </c>
      <c r="CX84" s="24">
        <f t="shared" si="106"/>
        <v>0</v>
      </c>
      <c r="CY84" s="24">
        <f t="shared" si="88"/>
        <v>0</v>
      </c>
      <c r="CZ84" s="24">
        <f t="shared" si="88"/>
        <v>0</v>
      </c>
      <c r="DA84" s="24">
        <f t="shared" si="88"/>
        <v>0</v>
      </c>
      <c r="DB84" s="24">
        <f t="shared" si="103"/>
        <v>0</v>
      </c>
      <c r="DC84" s="24">
        <f t="shared" si="103"/>
        <v>0</v>
      </c>
      <c r="DD84" s="24">
        <f t="shared" si="103"/>
        <v>0</v>
      </c>
      <c r="DE84" s="24"/>
      <c r="DF84" s="24">
        <f t="shared" si="107"/>
        <v>0</v>
      </c>
      <c r="DG84" s="54">
        <f t="shared" si="107"/>
        <v>0</v>
      </c>
      <c r="DH84" s="24">
        <f t="shared" si="104"/>
        <v>0</v>
      </c>
      <c r="DJ84" s="29">
        <f t="shared" si="94"/>
        <v>5000000</v>
      </c>
      <c r="DK84" s="29">
        <f t="shared" si="96"/>
        <v>5000000</v>
      </c>
      <c r="DL84" s="29">
        <f t="shared" si="97"/>
        <v>5000000</v>
      </c>
    </row>
    <row r="85" spans="1:117" ht="21" customHeight="1" x14ac:dyDescent="0.25">
      <c r="A85" s="237"/>
      <c r="B85" s="241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99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92"/>
        <v>0.99412374999999997</v>
      </c>
      <c r="AB85" s="24">
        <f t="shared" si="91"/>
        <v>19882475</v>
      </c>
      <c r="AC85" s="24"/>
      <c r="AD85" s="24"/>
      <c r="AE85" s="24"/>
      <c r="AF85" s="24"/>
      <c r="AG85" s="24">
        <f>+'[13]ABRIL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+'[2]DICIEMBRE 2016'!$W$4651</f>
        <v>9932475</v>
      </c>
      <c r="AP85" s="24"/>
      <c r="AQ85" s="24"/>
      <c r="AR85" s="24"/>
      <c r="AS85" s="24"/>
      <c r="AT85" s="24"/>
      <c r="AU85" s="24"/>
      <c r="AV85" s="24"/>
      <c r="AW85" s="25">
        <f t="shared" si="95"/>
        <v>5.8762500000000273E-3</v>
      </c>
      <c r="AX85" s="24">
        <f t="shared" si="78"/>
        <v>117525</v>
      </c>
      <c r="AY85" s="24">
        <f t="shared" si="79"/>
        <v>0</v>
      </c>
      <c r="AZ85" s="24">
        <f t="shared" si="79"/>
        <v>0</v>
      </c>
      <c r="BA85" s="24">
        <f t="shared" si="79"/>
        <v>0</v>
      </c>
      <c r="BB85" s="24">
        <f t="shared" si="100"/>
        <v>50000</v>
      </c>
      <c r="BC85" s="24">
        <f t="shared" si="100"/>
        <v>0</v>
      </c>
      <c r="BD85" s="24">
        <f t="shared" si="100"/>
        <v>0</v>
      </c>
      <c r="BE85" s="24">
        <f t="shared" si="100"/>
        <v>0</v>
      </c>
      <c r="BF85" s="24">
        <f t="shared" si="100"/>
        <v>0</v>
      </c>
      <c r="BG85" s="24">
        <f t="shared" si="100"/>
        <v>0</v>
      </c>
      <c r="BH85" s="24">
        <f t="shared" si="100"/>
        <v>0</v>
      </c>
      <c r="BI85" s="24">
        <f t="shared" si="100"/>
        <v>0</v>
      </c>
      <c r="BJ85" s="24">
        <f t="shared" si="100"/>
        <v>67525</v>
      </c>
      <c r="BK85" s="24">
        <f t="shared" si="100"/>
        <v>0</v>
      </c>
      <c r="BL85" s="24">
        <f t="shared" si="100"/>
        <v>0</v>
      </c>
      <c r="BM85" s="24">
        <f t="shared" si="100"/>
        <v>0</v>
      </c>
      <c r="BN85" s="24"/>
      <c r="BO85" s="24">
        <f>+X85-AT85</f>
        <v>0</v>
      </c>
      <c r="BP85" s="24">
        <f t="shared" si="81"/>
        <v>0</v>
      </c>
      <c r="BQ85" s="24">
        <f t="shared" si="101"/>
        <v>0</v>
      </c>
      <c r="BR85" s="25">
        <f t="shared" si="93"/>
        <v>0.99412374999999997</v>
      </c>
      <c r="BS85" s="24">
        <f t="shared" si="83"/>
        <v>19882475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+'[2]DICIEMBRE 2016'!$W$4651</f>
        <v>9932475</v>
      </c>
      <c r="CG85" s="24"/>
      <c r="CH85" s="24"/>
      <c r="CI85" s="24"/>
      <c r="CJ85" s="24"/>
      <c r="CK85" s="24"/>
      <c r="CL85" s="24"/>
      <c r="CM85" s="24"/>
      <c r="CN85" s="25">
        <f t="shared" si="84"/>
        <v>5.8762500000000273E-3</v>
      </c>
      <c r="CO85" s="24">
        <f t="shared" si="85"/>
        <v>117525</v>
      </c>
      <c r="CP85" s="24">
        <f t="shared" si="105"/>
        <v>0</v>
      </c>
      <c r="CQ85" s="24">
        <f t="shared" si="105"/>
        <v>0</v>
      </c>
      <c r="CR85" s="24">
        <f t="shared" si="105"/>
        <v>0</v>
      </c>
      <c r="CS85" s="24">
        <f t="shared" si="105"/>
        <v>50000</v>
      </c>
      <c r="CT85" s="24">
        <f t="shared" si="105"/>
        <v>0</v>
      </c>
      <c r="CU85" s="24">
        <f t="shared" si="105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8"/>
        <v>0</v>
      </c>
      <c r="CZ85" s="24">
        <f t="shared" si="88"/>
        <v>0</v>
      </c>
      <c r="DA85" s="24">
        <f t="shared" si="88"/>
        <v>67525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  <c r="DJ85" s="29">
        <f t="shared" si="94"/>
        <v>20000000</v>
      </c>
      <c r="DK85" s="29">
        <f t="shared" si="96"/>
        <v>20000000</v>
      </c>
      <c r="DL85" s="29">
        <f t="shared" si="97"/>
        <v>20000000</v>
      </c>
    </row>
    <row r="86" spans="1:117" s="58" customFormat="1" ht="35.25" customHeight="1" x14ac:dyDescent="0.25">
      <c r="A86" s="237" t="s">
        <v>183</v>
      </c>
      <c r="B86" s="239" t="s">
        <v>245</v>
      </c>
      <c r="C86" s="68" t="s">
        <v>246</v>
      </c>
      <c r="D86" s="21" t="s">
        <v>247</v>
      </c>
      <c r="E86" s="31">
        <v>520</v>
      </c>
      <c r="F86" s="67" t="s">
        <v>91</v>
      </c>
      <c r="G86" s="24">
        <f t="shared" si="99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92"/>
        <v>0.6</v>
      </c>
      <c r="AB86" s="24">
        <f t="shared" si="91"/>
        <v>3600000</v>
      </c>
      <c r="AC86" s="54"/>
      <c r="AD86" s="54"/>
      <c r="AE86" s="54"/>
      <c r="AF86" s="54"/>
      <c r="AG86" s="24">
        <f>+'[10]SEPTIEMBRE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5"/>
        <v>0.4</v>
      </c>
      <c r="AX86" s="24">
        <f t="shared" si="78"/>
        <v>2400000</v>
      </c>
      <c r="AY86" s="54">
        <f t="shared" si="79"/>
        <v>0</v>
      </c>
      <c r="AZ86" s="54">
        <f t="shared" si="79"/>
        <v>0</v>
      </c>
      <c r="BA86" s="24">
        <f t="shared" si="79"/>
        <v>0</v>
      </c>
      <c r="BB86" s="54">
        <f t="shared" si="100"/>
        <v>2400000</v>
      </c>
      <c r="BC86" s="54">
        <f t="shared" si="100"/>
        <v>0</v>
      </c>
      <c r="BD86" s="24">
        <f t="shared" si="100"/>
        <v>0</v>
      </c>
      <c r="BE86" s="54">
        <f t="shared" si="100"/>
        <v>0</v>
      </c>
      <c r="BF86" s="54">
        <f t="shared" si="100"/>
        <v>0</v>
      </c>
      <c r="BG86" s="24">
        <f t="shared" si="100"/>
        <v>0</v>
      </c>
      <c r="BH86" s="54">
        <f t="shared" si="100"/>
        <v>0</v>
      </c>
      <c r="BI86" s="54">
        <f t="shared" si="100"/>
        <v>0</v>
      </c>
      <c r="BJ86" s="54">
        <f t="shared" si="100"/>
        <v>0</v>
      </c>
      <c r="BK86" s="54">
        <f t="shared" si="100"/>
        <v>0</v>
      </c>
      <c r="BL86" s="54">
        <f t="shared" si="100"/>
        <v>0</v>
      </c>
      <c r="BM86" s="54">
        <f t="shared" si="100"/>
        <v>0</v>
      </c>
      <c r="BN86" s="54"/>
      <c r="BO86" s="54"/>
      <c r="BP86" s="24">
        <f t="shared" si="81"/>
        <v>0</v>
      </c>
      <c r="BQ86" s="54">
        <f t="shared" si="101"/>
        <v>0</v>
      </c>
      <c r="BR86" s="57">
        <f t="shared" si="93"/>
        <v>0.6</v>
      </c>
      <c r="BS86" s="24">
        <f t="shared" si="83"/>
        <v>3600000</v>
      </c>
      <c r="BT86" s="54"/>
      <c r="BU86" s="54"/>
      <c r="BV86" s="54"/>
      <c r="BW86" s="54"/>
      <c r="BX86" s="54">
        <f>+'[10]SEPTIEMBRE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84"/>
        <v>0.4</v>
      </c>
      <c r="CO86" s="24">
        <f t="shared" si="85"/>
        <v>2400000</v>
      </c>
      <c r="CP86" s="24">
        <f t="shared" si="105"/>
        <v>0</v>
      </c>
      <c r="CQ86" s="54">
        <f t="shared" si="105"/>
        <v>0</v>
      </c>
      <c r="CR86" s="24">
        <f t="shared" si="105"/>
        <v>0</v>
      </c>
      <c r="CS86" s="54">
        <f t="shared" si="105"/>
        <v>2400000</v>
      </c>
      <c r="CT86" s="54">
        <f t="shared" si="105"/>
        <v>0</v>
      </c>
      <c r="CU86" s="24">
        <f t="shared" si="105"/>
        <v>0</v>
      </c>
      <c r="CV86" s="54">
        <f t="shared" ref="CV86:DD92" si="108">+N86-CA86</f>
        <v>0</v>
      </c>
      <c r="CW86" s="54">
        <f t="shared" si="108"/>
        <v>0</v>
      </c>
      <c r="CX86" s="24">
        <f t="shared" si="108"/>
        <v>0</v>
      </c>
      <c r="CY86" s="54">
        <f t="shared" si="88"/>
        <v>0</v>
      </c>
      <c r="CZ86" s="54">
        <f t="shared" si="88"/>
        <v>0</v>
      </c>
      <c r="DA86" s="54">
        <f t="shared" si="88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  <c r="DJ86" s="29">
        <f t="shared" si="94"/>
        <v>6000000</v>
      </c>
      <c r="DK86" s="29">
        <f t="shared" si="96"/>
        <v>6000000</v>
      </c>
      <c r="DL86" s="29">
        <f t="shared" si="97"/>
        <v>6000000</v>
      </c>
    </row>
    <row r="87" spans="1:117" s="58" customFormat="1" ht="49.5" customHeight="1" x14ac:dyDescent="0.25">
      <c r="A87" s="237"/>
      <c r="B87" s="241"/>
      <c r="C87" s="68" t="s">
        <v>248</v>
      </c>
      <c r="D87" s="21" t="s">
        <v>249</v>
      </c>
      <c r="E87" s="31">
        <v>520</v>
      </c>
      <c r="F87" s="67" t="s">
        <v>91</v>
      </c>
      <c r="G87" s="24">
        <f t="shared" si="99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92"/>
        <v>0</v>
      </c>
      <c r="AB87" s="24">
        <f t="shared" si="91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5"/>
        <v>1</v>
      </c>
      <c r="AX87" s="24">
        <f t="shared" si="78"/>
        <v>6000000</v>
      </c>
      <c r="AY87" s="54">
        <f t="shared" si="79"/>
        <v>0</v>
      </c>
      <c r="AZ87" s="54">
        <f t="shared" si="79"/>
        <v>0</v>
      </c>
      <c r="BA87" s="24">
        <f t="shared" si="79"/>
        <v>0</v>
      </c>
      <c r="BB87" s="54">
        <f t="shared" si="100"/>
        <v>6000000</v>
      </c>
      <c r="BC87" s="54">
        <f t="shared" si="100"/>
        <v>0</v>
      </c>
      <c r="BD87" s="24">
        <f t="shared" si="100"/>
        <v>0</v>
      </c>
      <c r="BE87" s="54">
        <f t="shared" si="100"/>
        <v>0</v>
      </c>
      <c r="BF87" s="54">
        <f t="shared" si="100"/>
        <v>0</v>
      </c>
      <c r="BG87" s="24">
        <f t="shared" si="100"/>
        <v>0</v>
      </c>
      <c r="BH87" s="54">
        <f t="shared" si="100"/>
        <v>0</v>
      </c>
      <c r="BI87" s="54">
        <f t="shared" si="100"/>
        <v>0</v>
      </c>
      <c r="BJ87" s="54">
        <f t="shared" si="100"/>
        <v>0</v>
      </c>
      <c r="BK87" s="54">
        <f t="shared" si="100"/>
        <v>0</v>
      </c>
      <c r="BL87" s="54">
        <f t="shared" si="100"/>
        <v>0</v>
      </c>
      <c r="BM87" s="54">
        <f t="shared" si="100"/>
        <v>0</v>
      </c>
      <c r="BN87" s="54"/>
      <c r="BO87" s="54">
        <f>+X87-AT87</f>
        <v>0</v>
      </c>
      <c r="BP87" s="24">
        <f t="shared" si="81"/>
        <v>0</v>
      </c>
      <c r="BQ87" s="54">
        <f t="shared" si="101"/>
        <v>0</v>
      </c>
      <c r="BR87" s="57">
        <f t="shared" si="93"/>
        <v>0</v>
      </c>
      <c r="BS87" s="24">
        <f t="shared" si="83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84"/>
        <v>1</v>
      </c>
      <c r="CO87" s="24">
        <f t="shared" si="85"/>
        <v>6000000</v>
      </c>
      <c r="CP87" s="24">
        <f t="shared" si="105"/>
        <v>0</v>
      </c>
      <c r="CQ87" s="54">
        <f t="shared" si="105"/>
        <v>0</v>
      </c>
      <c r="CR87" s="24">
        <f t="shared" si="105"/>
        <v>0</v>
      </c>
      <c r="CS87" s="54">
        <f t="shared" si="105"/>
        <v>6000000</v>
      </c>
      <c r="CT87" s="54">
        <f t="shared" si="105"/>
        <v>0</v>
      </c>
      <c r="CU87" s="24">
        <f t="shared" si="105"/>
        <v>0</v>
      </c>
      <c r="CV87" s="54">
        <f t="shared" si="108"/>
        <v>0</v>
      </c>
      <c r="CW87" s="54">
        <f t="shared" si="108"/>
        <v>0</v>
      </c>
      <c r="CX87" s="24">
        <f t="shared" si="108"/>
        <v>0</v>
      </c>
      <c r="CY87" s="54">
        <f t="shared" si="88"/>
        <v>0</v>
      </c>
      <c r="CZ87" s="54">
        <f t="shared" si="88"/>
        <v>0</v>
      </c>
      <c r="DA87" s="54">
        <f t="shared" si="88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  <c r="DJ87" s="29">
        <f t="shared" si="94"/>
        <v>6000000</v>
      </c>
      <c r="DK87" s="29">
        <f t="shared" si="96"/>
        <v>6000000</v>
      </c>
      <c r="DL87" s="29">
        <f t="shared" si="97"/>
        <v>6000000</v>
      </c>
    </row>
    <row r="88" spans="1:117" ht="33" customHeight="1" x14ac:dyDescent="0.25">
      <c r="A88" s="237"/>
      <c r="B88" s="239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99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92"/>
        <v>1</v>
      </c>
      <c r="AB88" s="24">
        <f t="shared" si="91"/>
        <v>33106800</v>
      </c>
      <c r="AC88" s="24"/>
      <c r="AD88" s="24"/>
      <c r="AE88" s="24"/>
      <c r="AF88" s="24"/>
      <c r="AG88" s="24">
        <f>+'[3]ENERO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5"/>
        <v>0</v>
      </c>
      <c r="AX88" s="24">
        <f t="shared" si="78"/>
        <v>0</v>
      </c>
      <c r="AY88" s="24">
        <f t="shared" si="79"/>
        <v>0</v>
      </c>
      <c r="AZ88" s="24">
        <f t="shared" si="79"/>
        <v>0</v>
      </c>
      <c r="BA88" s="24">
        <f t="shared" si="79"/>
        <v>0</v>
      </c>
      <c r="BB88" s="24">
        <f t="shared" si="100"/>
        <v>0</v>
      </c>
      <c r="BC88" s="24">
        <f t="shared" si="100"/>
        <v>0</v>
      </c>
      <c r="BD88" s="24">
        <f t="shared" si="100"/>
        <v>0</v>
      </c>
      <c r="BE88" s="54">
        <f t="shared" si="100"/>
        <v>0</v>
      </c>
      <c r="BF88" s="24">
        <f t="shared" si="100"/>
        <v>0</v>
      </c>
      <c r="BG88" s="24">
        <f t="shared" si="100"/>
        <v>0</v>
      </c>
      <c r="BH88" s="24">
        <f t="shared" si="100"/>
        <v>0</v>
      </c>
      <c r="BI88" s="24">
        <f t="shared" si="100"/>
        <v>0</v>
      </c>
      <c r="BJ88" s="24">
        <f t="shared" si="100"/>
        <v>0</v>
      </c>
      <c r="BK88" s="24">
        <f t="shared" si="100"/>
        <v>0</v>
      </c>
      <c r="BL88" s="24">
        <f t="shared" si="100"/>
        <v>0</v>
      </c>
      <c r="BM88" s="24">
        <f t="shared" si="100"/>
        <v>0</v>
      </c>
      <c r="BN88" s="24"/>
      <c r="BO88" s="24"/>
      <c r="BP88" s="24">
        <f t="shared" si="81"/>
        <v>0</v>
      </c>
      <c r="BQ88" s="24">
        <f t="shared" si="101"/>
        <v>0</v>
      </c>
      <c r="BR88" s="25">
        <f t="shared" si="93"/>
        <v>1</v>
      </c>
      <c r="BS88" s="24">
        <f t="shared" si="83"/>
        <v>33106800</v>
      </c>
      <c r="BT88" s="24"/>
      <c r="BU88" s="24"/>
      <c r="BV88" s="24"/>
      <c r="BW88" s="24"/>
      <c r="BX88" s="24">
        <f>+'[4]DICIEMBRE 2016'!$O$4691</f>
        <v>33106800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84"/>
        <v>0</v>
      </c>
      <c r="CO88" s="24">
        <f t="shared" si="85"/>
        <v>0</v>
      </c>
      <c r="CP88" s="24">
        <f t="shared" si="105"/>
        <v>0</v>
      </c>
      <c r="CQ88" s="54">
        <f t="shared" si="105"/>
        <v>0</v>
      </c>
      <c r="CR88" s="24">
        <f t="shared" si="105"/>
        <v>0</v>
      </c>
      <c r="CS88" s="24">
        <f t="shared" si="105"/>
        <v>0</v>
      </c>
      <c r="CT88" s="54">
        <f t="shared" si="105"/>
        <v>0</v>
      </c>
      <c r="CU88" s="24">
        <f t="shared" si="105"/>
        <v>0</v>
      </c>
      <c r="CV88" s="54">
        <f t="shared" si="108"/>
        <v>0</v>
      </c>
      <c r="CW88" s="54">
        <f t="shared" si="108"/>
        <v>0</v>
      </c>
      <c r="CX88" s="24">
        <f t="shared" si="108"/>
        <v>0</v>
      </c>
      <c r="CY88" s="54">
        <f t="shared" si="88"/>
        <v>0</v>
      </c>
      <c r="CZ88" s="24">
        <f t="shared" si="88"/>
        <v>0</v>
      </c>
      <c r="DA88" s="24">
        <f t="shared" si="88"/>
        <v>0</v>
      </c>
      <c r="DB88" s="24">
        <f t="shared" ref="DB88:DD90" si="109">+T88-CG88</f>
        <v>0</v>
      </c>
      <c r="DC88" s="24">
        <f t="shared" si="109"/>
        <v>0</v>
      </c>
      <c r="DD88" s="24">
        <f t="shared" si="109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  <c r="DJ88" s="29">
        <f t="shared" si="94"/>
        <v>33106800</v>
      </c>
      <c r="DK88" s="29">
        <f t="shared" si="96"/>
        <v>33106800</v>
      </c>
      <c r="DL88" s="29">
        <f t="shared" si="97"/>
        <v>33106800</v>
      </c>
      <c r="DM88" s="52">
        <f>+DK88-DL88</f>
        <v>0</v>
      </c>
    </row>
    <row r="89" spans="1:117" ht="19.5" customHeight="1" x14ac:dyDescent="0.25">
      <c r="A89" s="237"/>
      <c r="B89" s="240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99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92"/>
        <v>1</v>
      </c>
      <c r="AB89" s="24">
        <f t="shared" si="91"/>
        <v>15184000</v>
      </c>
      <c r="AC89" s="24"/>
      <c r="AD89" s="24"/>
      <c r="AE89" s="24"/>
      <c r="AF89" s="24"/>
      <c r="AG89" s="24">
        <f>+'[3]ENERO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5"/>
        <v>0</v>
      </c>
      <c r="AX89" s="24">
        <f t="shared" si="78"/>
        <v>0</v>
      </c>
      <c r="AY89" s="24">
        <f t="shared" si="79"/>
        <v>0</v>
      </c>
      <c r="AZ89" s="24">
        <f t="shared" si="79"/>
        <v>0</v>
      </c>
      <c r="BA89" s="24">
        <f t="shared" si="79"/>
        <v>0</v>
      </c>
      <c r="BB89" s="24">
        <f t="shared" ref="BB89:BM92" si="110">+K89-AG89</f>
        <v>0</v>
      </c>
      <c r="BC89" s="24">
        <f t="shared" si="110"/>
        <v>0</v>
      </c>
      <c r="BD89" s="24">
        <f t="shared" si="110"/>
        <v>0</v>
      </c>
      <c r="BE89" s="54">
        <f t="shared" si="110"/>
        <v>0</v>
      </c>
      <c r="BF89" s="24">
        <f t="shared" si="110"/>
        <v>0</v>
      </c>
      <c r="BG89" s="24">
        <f t="shared" si="110"/>
        <v>0</v>
      </c>
      <c r="BH89" s="24">
        <f t="shared" si="110"/>
        <v>0</v>
      </c>
      <c r="BI89" s="24">
        <f t="shared" si="110"/>
        <v>0</v>
      </c>
      <c r="BJ89" s="24">
        <f t="shared" si="110"/>
        <v>0</v>
      </c>
      <c r="BK89" s="24">
        <f t="shared" si="110"/>
        <v>0</v>
      </c>
      <c r="BL89" s="24">
        <f t="shared" si="110"/>
        <v>0</v>
      </c>
      <c r="BM89" s="24">
        <f t="shared" si="110"/>
        <v>0</v>
      </c>
      <c r="BN89" s="24"/>
      <c r="BO89" s="24"/>
      <c r="BP89" s="24">
        <f t="shared" si="81"/>
        <v>0</v>
      </c>
      <c r="BQ89" s="24">
        <f t="shared" si="101"/>
        <v>0</v>
      </c>
      <c r="BR89" s="25">
        <f t="shared" si="93"/>
        <v>1</v>
      </c>
      <c r="BS89" s="24">
        <f t="shared" si="83"/>
        <v>15184000</v>
      </c>
      <c r="BT89" s="24"/>
      <c r="BU89" s="24"/>
      <c r="BV89" s="24"/>
      <c r="BW89" s="24"/>
      <c r="BX89" s="24">
        <f>+'[4]DICIEMBRE 2016'!$O$4701</f>
        <v>15184000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84"/>
        <v>0</v>
      </c>
      <c r="CO89" s="24">
        <f t="shared" si="85"/>
        <v>0</v>
      </c>
      <c r="CP89" s="24">
        <f t="shared" si="105"/>
        <v>0</v>
      </c>
      <c r="CQ89" s="54">
        <f t="shared" si="105"/>
        <v>0</v>
      </c>
      <c r="CR89" s="24">
        <f t="shared" si="105"/>
        <v>0</v>
      </c>
      <c r="CS89" s="24">
        <f t="shared" si="105"/>
        <v>0</v>
      </c>
      <c r="CT89" s="54">
        <f t="shared" si="105"/>
        <v>0</v>
      </c>
      <c r="CU89" s="24">
        <f t="shared" si="105"/>
        <v>0</v>
      </c>
      <c r="CV89" s="54">
        <f t="shared" si="108"/>
        <v>0</v>
      </c>
      <c r="CW89" s="54">
        <f t="shared" si="108"/>
        <v>0</v>
      </c>
      <c r="CX89" s="24">
        <f t="shared" si="108"/>
        <v>0</v>
      </c>
      <c r="CY89" s="54">
        <f t="shared" si="88"/>
        <v>0</v>
      </c>
      <c r="CZ89" s="24">
        <f t="shared" si="88"/>
        <v>0</v>
      </c>
      <c r="DA89" s="24">
        <f t="shared" si="88"/>
        <v>0</v>
      </c>
      <c r="DB89" s="24">
        <f t="shared" si="109"/>
        <v>0</v>
      </c>
      <c r="DC89" s="24">
        <f t="shared" si="109"/>
        <v>0</v>
      </c>
      <c r="DD89" s="24">
        <f t="shared" si="109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  <c r="DJ89" s="29">
        <f t="shared" si="94"/>
        <v>15184000</v>
      </c>
      <c r="DK89" s="29">
        <f t="shared" si="96"/>
        <v>15184000</v>
      </c>
      <c r="DL89" s="29">
        <f t="shared" si="97"/>
        <v>15184000</v>
      </c>
    </row>
    <row r="90" spans="1:117" ht="45" x14ac:dyDescent="0.25">
      <c r="A90" s="237"/>
      <c r="B90" s="240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99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92"/>
        <v>0.72647052941176471</v>
      </c>
      <c r="AB90" s="24">
        <f t="shared" si="91"/>
        <v>12349999</v>
      </c>
      <c r="AC90" s="24"/>
      <c r="AD90" s="24"/>
      <c r="AE90" s="24"/>
      <c r="AF90" s="24"/>
      <c r="AG90" s="24">
        <f>+'[4]DICIEMBRE 2016'!$O$4713</f>
        <v>11349999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5"/>
        <v>0.27352947058823529</v>
      </c>
      <c r="AX90" s="24">
        <f t="shared" si="78"/>
        <v>4650001</v>
      </c>
      <c r="AY90" s="24">
        <f t="shared" si="79"/>
        <v>0</v>
      </c>
      <c r="AZ90" s="24">
        <f t="shared" si="79"/>
        <v>0</v>
      </c>
      <c r="BA90" s="24">
        <f t="shared" si="79"/>
        <v>0</v>
      </c>
      <c r="BB90" s="24">
        <f t="shared" si="110"/>
        <v>4650001</v>
      </c>
      <c r="BC90" s="24">
        <f t="shared" si="110"/>
        <v>0</v>
      </c>
      <c r="BD90" s="24">
        <f t="shared" si="110"/>
        <v>0</v>
      </c>
      <c r="BE90" s="54">
        <f t="shared" si="110"/>
        <v>0</v>
      </c>
      <c r="BF90" s="24">
        <f t="shared" si="110"/>
        <v>0</v>
      </c>
      <c r="BG90" s="24">
        <f t="shared" si="110"/>
        <v>0</v>
      </c>
      <c r="BH90" s="24">
        <f t="shared" si="110"/>
        <v>0</v>
      </c>
      <c r="BI90" s="24">
        <f t="shared" si="110"/>
        <v>0</v>
      </c>
      <c r="BJ90" s="24">
        <f t="shared" si="110"/>
        <v>0</v>
      </c>
      <c r="BK90" s="24">
        <f t="shared" si="110"/>
        <v>0</v>
      </c>
      <c r="BL90" s="24">
        <f t="shared" si="110"/>
        <v>0</v>
      </c>
      <c r="BM90" s="24">
        <f t="shared" si="110"/>
        <v>0</v>
      </c>
      <c r="BN90" s="24"/>
      <c r="BO90" s="24"/>
      <c r="BP90" s="24">
        <f t="shared" si="81"/>
        <v>0</v>
      </c>
      <c r="BQ90" s="24">
        <f t="shared" si="101"/>
        <v>0</v>
      </c>
      <c r="BR90" s="25">
        <f t="shared" si="93"/>
        <v>0.72647052941176471</v>
      </c>
      <c r="BS90" s="24">
        <f t="shared" si="83"/>
        <v>12349999</v>
      </c>
      <c r="BT90" s="24"/>
      <c r="BU90" s="24"/>
      <c r="BV90" s="24"/>
      <c r="BW90" s="24"/>
      <c r="BX90" s="24">
        <f>+'[4]DICIEMBRE 2016'!$O$4713</f>
        <v>11349999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>
        <f>+'[5]NOVIEMBRE 2016'!$AG$4470</f>
        <v>1000000</v>
      </c>
      <c r="CN90" s="57">
        <f t="shared" si="84"/>
        <v>0.27352947058823529</v>
      </c>
      <c r="CO90" s="24">
        <f t="shared" si="85"/>
        <v>4650001</v>
      </c>
      <c r="CP90" s="24">
        <f t="shared" si="105"/>
        <v>0</v>
      </c>
      <c r="CQ90" s="54">
        <f t="shared" si="105"/>
        <v>0</v>
      </c>
      <c r="CR90" s="24">
        <f t="shared" si="105"/>
        <v>0</v>
      </c>
      <c r="CS90" s="24">
        <f t="shared" si="105"/>
        <v>4650001</v>
      </c>
      <c r="CT90" s="54">
        <f t="shared" si="105"/>
        <v>0</v>
      </c>
      <c r="CU90" s="24">
        <f t="shared" si="105"/>
        <v>0</v>
      </c>
      <c r="CV90" s="54">
        <f t="shared" si="108"/>
        <v>0</v>
      </c>
      <c r="CW90" s="54">
        <f t="shared" si="108"/>
        <v>0</v>
      </c>
      <c r="CX90" s="24">
        <f t="shared" si="108"/>
        <v>0</v>
      </c>
      <c r="CY90" s="54">
        <f t="shared" si="88"/>
        <v>0</v>
      </c>
      <c r="CZ90" s="24">
        <f t="shared" si="88"/>
        <v>0</v>
      </c>
      <c r="DA90" s="24">
        <f t="shared" si="88"/>
        <v>0</v>
      </c>
      <c r="DB90" s="24">
        <f t="shared" si="109"/>
        <v>0</v>
      </c>
      <c r="DC90" s="24">
        <f t="shared" si="109"/>
        <v>0</v>
      </c>
      <c r="DD90" s="24">
        <f t="shared" si="109"/>
        <v>0</v>
      </c>
      <c r="DE90" s="24"/>
      <c r="DF90" s="24">
        <f>+X90-CK90</f>
        <v>0</v>
      </c>
      <c r="DG90" s="54">
        <f>Y90-CL90</f>
        <v>0</v>
      </c>
      <c r="DH90" s="24">
        <f>+Z90-CM90</f>
        <v>0</v>
      </c>
      <c r="DJ90" s="29">
        <f t="shared" si="94"/>
        <v>17000000</v>
      </c>
      <c r="DK90" s="29">
        <f t="shared" si="96"/>
        <v>17000000</v>
      </c>
      <c r="DL90" s="29">
        <f t="shared" si="97"/>
        <v>17000000</v>
      </c>
    </row>
    <row r="91" spans="1:117" ht="21" customHeight="1" x14ac:dyDescent="0.25">
      <c r="A91" s="237"/>
      <c r="B91" s="240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99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92"/>
        <v>0.98502514506341121</v>
      </c>
      <c r="AB91" s="24">
        <f t="shared" si="91"/>
        <v>266655369</v>
      </c>
      <c r="AC91" s="72"/>
      <c r="AD91" s="72"/>
      <c r="AE91" s="72"/>
      <c r="AF91" s="72"/>
      <c r="AG91" s="72">
        <f>+'[3]ENERO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+'[4]DICIEMBRE 2016'!$W$4722</f>
        <v>230946169</v>
      </c>
      <c r="AP91" s="72"/>
      <c r="AQ91" s="72"/>
      <c r="AR91" s="72"/>
      <c r="AS91" s="72"/>
      <c r="AT91" s="72"/>
      <c r="AU91" s="72"/>
      <c r="AV91" s="72"/>
      <c r="AW91" s="25">
        <f t="shared" si="95"/>
        <v>1.4974854936588788E-2</v>
      </c>
      <c r="AX91" s="24">
        <f t="shared" si="78"/>
        <v>4053831</v>
      </c>
      <c r="AY91" s="24">
        <f t="shared" si="79"/>
        <v>0</v>
      </c>
      <c r="AZ91" s="24">
        <f t="shared" si="79"/>
        <v>0</v>
      </c>
      <c r="BA91" s="24">
        <f t="shared" si="79"/>
        <v>0</v>
      </c>
      <c r="BB91" s="24">
        <f t="shared" si="110"/>
        <v>0</v>
      </c>
      <c r="BC91" s="24">
        <f t="shared" si="110"/>
        <v>0</v>
      </c>
      <c r="BD91" s="24">
        <f t="shared" si="110"/>
        <v>0</v>
      </c>
      <c r="BE91" s="54">
        <f t="shared" si="110"/>
        <v>0</v>
      </c>
      <c r="BF91" s="24">
        <f t="shared" si="110"/>
        <v>0</v>
      </c>
      <c r="BG91" s="24">
        <f t="shared" si="110"/>
        <v>0</v>
      </c>
      <c r="BH91" s="24">
        <f t="shared" si="110"/>
        <v>0</v>
      </c>
      <c r="BI91" s="24">
        <f t="shared" si="110"/>
        <v>0</v>
      </c>
      <c r="BJ91" s="24">
        <f t="shared" si="110"/>
        <v>4053831</v>
      </c>
      <c r="BK91" s="24">
        <f t="shared" si="110"/>
        <v>0</v>
      </c>
      <c r="BL91" s="24">
        <f t="shared" si="110"/>
        <v>0</v>
      </c>
      <c r="BM91" s="24">
        <f t="shared" si="110"/>
        <v>0</v>
      </c>
      <c r="BN91" s="24"/>
      <c r="BO91" s="24">
        <f>+X91-AT91</f>
        <v>0</v>
      </c>
      <c r="BP91" s="24">
        <f t="shared" si="81"/>
        <v>0</v>
      </c>
      <c r="BQ91" s="24">
        <f t="shared" si="101"/>
        <v>0</v>
      </c>
      <c r="BR91" s="25">
        <f t="shared" si="93"/>
        <v>0.98502514506341121</v>
      </c>
      <c r="BS91" s="24">
        <f t="shared" si="83"/>
        <v>266655369</v>
      </c>
      <c r="BT91" s="72"/>
      <c r="BU91" s="72"/>
      <c r="BV91" s="72"/>
      <c r="BW91" s="72"/>
      <c r="BX91" s="72">
        <f>+'[1]OCTUBRE 2016'!$H$3956+'[1]OCTUBRE 2016'!$H$4006+'[1]OCTUBRE 2016'!$H$4007</f>
        <v>35709200</v>
      </c>
      <c r="BY91" s="72"/>
      <c r="BZ91" s="72"/>
      <c r="CA91" s="72"/>
      <c r="CB91" s="72"/>
      <c r="CC91" s="72"/>
      <c r="CD91" s="72"/>
      <c r="CE91" s="72"/>
      <c r="CF91" s="72">
        <f>+'[4]DICIEMBRE 2016'!$W$4722</f>
        <v>230946169</v>
      </c>
      <c r="CG91" s="72"/>
      <c r="CH91" s="72"/>
      <c r="CI91" s="72"/>
      <c r="CJ91" s="72"/>
      <c r="CK91" s="72"/>
      <c r="CL91" s="72"/>
      <c r="CM91" s="72"/>
      <c r="CN91" s="57">
        <f t="shared" si="84"/>
        <v>1.4974854936588788E-2</v>
      </c>
      <c r="CO91" s="24">
        <f t="shared" si="85"/>
        <v>4053831</v>
      </c>
      <c r="CP91" s="24">
        <f t="shared" si="105"/>
        <v>0</v>
      </c>
      <c r="CQ91" s="54">
        <f t="shared" si="105"/>
        <v>0</v>
      </c>
      <c r="CR91" s="24">
        <f t="shared" si="105"/>
        <v>0</v>
      </c>
      <c r="CS91" s="24">
        <f t="shared" si="105"/>
        <v>0</v>
      </c>
      <c r="CT91" s="54">
        <f t="shared" si="105"/>
        <v>0</v>
      </c>
      <c r="CU91" s="24">
        <f t="shared" si="105"/>
        <v>0</v>
      </c>
      <c r="CV91" s="54">
        <f t="shared" si="108"/>
        <v>0</v>
      </c>
      <c r="CW91" s="54">
        <f t="shared" si="108"/>
        <v>0</v>
      </c>
      <c r="CX91" s="24">
        <f t="shared" si="108"/>
        <v>0</v>
      </c>
      <c r="CY91" s="54">
        <f t="shared" si="88"/>
        <v>0</v>
      </c>
      <c r="CZ91" s="54">
        <f t="shared" si="88"/>
        <v>0</v>
      </c>
      <c r="DA91" s="54">
        <f t="shared" si="88"/>
        <v>4053831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  <c r="DJ91" s="29">
        <f t="shared" si="94"/>
        <v>270709200</v>
      </c>
      <c r="DK91" s="29">
        <f t="shared" si="96"/>
        <v>270709200</v>
      </c>
      <c r="DL91" s="29">
        <f t="shared" si="97"/>
        <v>270709200</v>
      </c>
    </row>
    <row r="92" spans="1:117" ht="62.25" customHeight="1" x14ac:dyDescent="0.25">
      <c r="A92" s="238"/>
      <c r="B92" s="241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9"/>
        <v>64451472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26599846+5000000+955598+1000000+3500000+3000000+10000000+5396028+9000000</f>
        <v>64451472</v>
      </c>
      <c r="AA92" s="25">
        <f t="shared" si="92"/>
        <v>0.84929220856274623</v>
      </c>
      <c r="AB92" s="24">
        <f t="shared" si="91"/>
        <v>54738133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+'[2]DICIEMBRE 2016'!$AG$4775</f>
        <v>54738133</v>
      </c>
      <c r="AW92" s="25">
        <f t="shared" si="95"/>
        <v>0.15070779143725377</v>
      </c>
      <c r="AX92" s="24">
        <f t="shared" si="78"/>
        <v>9713339</v>
      </c>
      <c r="AY92" s="24">
        <f t="shared" si="79"/>
        <v>0</v>
      </c>
      <c r="AZ92" s="24">
        <f t="shared" si="79"/>
        <v>0</v>
      </c>
      <c r="BA92" s="24">
        <f t="shared" si="79"/>
        <v>0</v>
      </c>
      <c r="BB92" s="24">
        <f t="shared" si="110"/>
        <v>0</v>
      </c>
      <c r="BC92" s="24">
        <f t="shared" si="110"/>
        <v>0</v>
      </c>
      <c r="BD92" s="24">
        <f t="shared" si="110"/>
        <v>0</v>
      </c>
      <c r="BE92" s="54">
        <f t="shared" si="110"/>
        <v>0</v>
      </c>
      <c r="BF92" s="24">
        <f t="shared" si="110"/>
        <v>0</v>
      </c>
      <c r="BG92" s="24">
        <f t="shared" si="110"/>
        <v>0</v>
      </c>
      <c r="BH92" s="24">
        <f t="shared" si="110"/>
        <v>0</v>
      </c>
      <c r="BI92" s="24">
        <f t="shared" si="110"/>
        <v>0</v>
      </c>
      <c r="BJ92" s="24">
        <f t="shared" si="110"/>
        <v>0</v>
      </c>
      <c r="BK92" s="24">
        <f t="shared" si="110"/>
        <v>0</v>
      </c>
      <c r="BL92" s="24">
        <f t="shared" si="110"/>
        <v>0</v>
      </c>
      <c r="BM92" s="24">
        <f t="shared" si="110"/>
        <v>0</v>
      </c>
      <c r="BN92" s="24"/>
      <c r="BO92" s="24">
        <f>+X92-AT92</f>
        <v>0</v>
      </c>
      <c r="BP92" s="24">
        <f t="shared" si="81"/>
        <v>0</v>
      </c>
      <c r="BQ92" s="24">
        <f t="shared" si="101"/>
        <v>9713339</v>
      </c>
      <c r="BR92" s="25">
        <f t="shared" si="93"/>
        <v>0.84929220856274623</v>
      </c>
      <c r="BS92" s="24">
        <f t="shared" si="83"/>
        <v>54738133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+'[2]DICIEMBRE 2016'!$H$4773</f>
        <v>54738133</v>
      </c>
      <c r="CN92" s="57">
        <f t="shared" si="84"/>
        <v>0.15070779143725377</v>
      </c>
      <c r="CO92" s="24">
        <f t="shared" si="85"/>
        <v>9713339</v>
      </c>
      <c r="CP92" s="24">
        <f t="shared" si="105"/>
        <v>0</v>
      </c>
      <c r="CQ92" s="54">
        <f t="shared" si="105"/>
        <v>0</v>
      </c>
      <c r="CR92" s="24">
        <f t="shared" si="105"/>
        <v>0</v>
      </c>
      <c r="CS92" s="24">
        <f t="shared" si="105"/>
        <v>0</v>
      </c>
      <c r="CT92" s="54">
        <f t="shared" si="105"/>
        <v>0</v>
      </c>
      <c r="CU92" s="24">
        <f t="shared" si="105"/>
        <v>0</v>
      </c>
      <c r="CV92" s="54">
        <f t="shared" si="108"/>
        <v>0</v>
      </c>
      <c r="CW92" s="54">
        <f t="shared" si="108"/>
        <v>0</v>
      </c>
      <c r="CX92" s="24">
        <f t="shared" si="108"/>
        <v>0</v>
      </c>
      <c r="CY92" s="24">
        <f t="shared" si="108"/>
        <v>0</v>
      </c>
      <c r="CZ92" s="24">
        <f t="shared" si="108"/>
        <v>0</v>
      </c>
      <c r="DA92" s="24">
        <f t="shared" si="108"/>
        <v>0</v>
      </c>
      <c r="DB92" s="24">
        <f t="shared" si="108"/>
        <v>0</v>
      </c>
      <c r="DC92" s="24">
        <f t="shared" si="108"/>
        <v>0</v>
      </c>
      <c r="DD92" s="24">
        <f t="shared" si="108"/>
        <v>0</v>
      </c>
      <c r="DE92" s="24"/>
      <c r="DF92" s="24">
        <f>+X92-CK92</f>
        <v>0</v>
      </c>
      <c r="DG92" s="24">
        <f>+Y92-CL92</f>
        <v>0</v>
      </c>
      <c r="DH92" s="24">
        <f>+Z92-CM92</f>
        <v>9713339</v>
      </c>
      <c r="DJ92" s="29">
        <f t="shared" si="94"/>
        <v>64451472</v>
      </c>
      <c r="DK92" s="29">
        <f t="shared" si="96"/>
        <v>64451472</v>
      </c>
      <c r="DL92" s="29">
        <f t="shared" si="97"/>
        <v>64451472</v>
      </c>
    </row>
    <row r="93" spans="1:117" s="43" customFormat="1" ht="20.25" customHeight="1" thickBot="1" x14ac:dyDescent="0.3">
      <c r="A93" s="73"/>
      <c r="B93" s="253" t="s">
        <v>262</v>
      </c>
      <c r="C93" s="254"/>
      <c r="D93" s="254"/>
      <c r="E93" s="254"/>
      <c r="F93" s="255"/>
      <c r="G93" s="61">
        <f>SUM(G61:G92)</f>
        <v>1790134547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 t="shared" ref="K93:Z93" si="111">SUM(K61:K92)</f>
        <v>520000000</v>
      </c>
      <c r="L93" s="61">
        <f t="shared" si="111"/>
        <v>50000000</v>
      </c>
      <c r="M93" s="61">
        <f t="shared" si="111"/>
        <v>0</v>
      </c>
      <c r="N93" s="61">
        <f t="shared" si="111"/>
        <v>0</v>
      </c>
      <c r="O93" s="61">
        <f t="shared" si="111"/>
        <v>0</v>
      </c>
      <c r="P93" s="61">
        <f t="shared" si="111"/>
        <v>0</v>
      </c>
      <c r="Q93" s="61">
        <f t="shared" si="111"/>
        <v>0</v>
      </c>
      <c r="R93" s="61">
        <f t="shared" si="111"/>
        <v>244000000</v>
      </c>
      <c r="S93" s="61">
        <f t="shared" si="111"/>
        <v>333901442</v>
      </c>
      <c r="T93" s="61">
        <f t="shared" si="111"/>
        <v>0</v>
      </c>
      <c r="U93" s="61">
        <f t="shared" si="111"/>
        <v>0</v>
      </c>
      <c r="V93" s="61">
        <f t="shared" si="111"/>
        <v>0</v>
      </c>
      <c r="W93" s="61">
        <f t="shared" si="111"/>
        <v>0</v>
      </c>
      <c r="X93" s="61">
        <f t="shared" si="111"/>
        <v>0</v>
      </c>
      <c r="Y93" s="61">
        <f t="shared" si="111"/>
        <v>0</v>
      </c>
      <c r="Z93" s="61">
        <f t="shared" si="111"/>
        <v>642233105</v>
      </c>
      <c r="AA93" s="39">
        <f t="shared" si="92"/>
        <v>0.94110376888894265</v>
      </c>
      <c r="AB93" s="61">
        <f>SUM(AB61:AB92)</f>
        <v>1684702369</v>
      </c>
      <c r="AC93" s="61"/>
      <c r="AD93" s="61">
        <f t="shared" ref="AD93:AV93" si="112">SUM(AD61:AD92)</f>
        <v>0</v>
      </c>
      <c r="AE93" s="61">
        <f t="shared" si="112"/>
        <v>0</v>
      </c>
      <c r="AF93" s="61">
        <f t="shared" si="112"/>
        <v>0</v>
      </c>
      <c r="AG93" s="61">
        <f t="shared" si="112"/>
        <v>485265778</v>
      </c>
      <c r="AH93" s="61">
        <f t="shared" si="112"/>
        <v>49797725</v>
      </c>
      <c r="AI93" s="61">
        <f t="shared" si="112"/>
        <v>0</v>
      </c>
      <c r="AJ93" s="61">
        <f t="shared" si="112"/>
        <v>0</v>
      </c>
      <c r="AK93" s="61">
        <f t="shared" si="112"/>
        <v>0</v>
      </c>
      <c r="AL93" s="61">
        <f t="shared" si="112"/>
        <v>0</v>
      </c>
      <c r="AM93" s="61">
        <f t="shared" si="112"/>
        <v>0</v>
      </c>
      <c r="AN93" s="61">
        <f t="shared" si="112"/>
        <v>214647880</v>
      </c>
      <c r="AO93" s="61">
        <f t="shared" si="112"/>
        <v>317313672</v>
      </c>
      <c r="AP93" s="61">
        <f t="shared" si="112"/>
        <v>0</v>
      </c>
      <c r="AQ93" s="61">
        <f t="shared" si="112"/>
        <v>0</v>
      </c>
      <c r="AR93" s="61">
        <f t="shared" si="112"/>
        <v>0</v>
      </c>
      <c r="AS93" s="61">
        <f t="shared" si="112"/>
        <v>0</v>
      </c>
      <c r="AT93" s="61">
        <f t="shared" si="112"/>
        <v>0</v>
      </c>
      <c r="AU93" s="61">
        <f t="shared" si="112"/>
        <v>0</v>
      </c>
      <c r="AV93" s="61">
        <f t="shared" si="112"/>
        <v>617677314</v>
      </c>
      <c r="AW93" s="39">
        <f t="shared" si="95"/>
        <v>5.8896231111057351E-2</v>
      </c>
      <c r="AX93" s="61">
        <f>SUM(AX61:AX92)</f>
        <v>105432178</v>
      </c>
      <c r="AY93" s="61">
        <f t="shared" ref="AY93:BQ93" si="113">SUM(AY61:AY92)</f>
        <v>0</v>
      </c>
      <c r="AZ93" s="61">
        <f t="shared" si="113"/>
        <v>0</v>
      </c>
      <c r="BA93" s="61">
        <f t="shared" si="113"/>
        <v>0</v>
      </c>
      <c r="BB93" s="61">
        <f t="shared" si="113"/>
        <v>34734222</v>
      </c>
      <c r="BC93" s="61">
        <f t="shared" si="113"/>
        <v>202275</v>
      </c>
      <c r="BD93" s="61">
        <f t="shared" si="113"/>
        <v>0</v>
      </c>
      <c r="BE93" s="61">
        <f t="shared" si="113"/>
        <v>0</v>
      </c>
      <c r="BF93" s="61">
        <f t="shared" si="113"/>
        <v>0</v>
      </c>
      <c r="BG93" s="61">
        <f t="shared" si="113"/>
        <v>0</v>
      </c>
      <c r="BH93" s="61">
        <f t="shared" si="113"/>
        <v>0</v>
      </c>
      <c r="BI93" s="61">
        <f t="shared" si="113"/>
        <v>29352120</v>
      </c>
      <c r="BJ93" s="61">
        <f t="shared" si="113"/>
        <v>16587770</v>
      </c>
      <c r="BK93" s="61">
        <f t="shared" si="113"/>
        <v>0</v>
      </c>
      <c r="BL93" s="61">
        <f t="shared" si="113"/>
        <v>0</v>
      </c>
      <c r="BM93" s="61">
        <f t="shared" si="113"/>
        <v>0</v>
      </c>
      <c r="BN93" s="61">
        <f t="shared" si="113"/>
        <v>0</v>
      </c>
      <c r="BO93" s="61">
        <f t="shared" si="113"/>
        <v>0</v>
      </c>
      <c r="BP93" s="61">
        <f t="shared" si="113"/>
        <v>0</v>
      </c>
      <c r="BQ93" s="61">
        <f t="shared" si="113"/>
        <v>24555791</v>
      </c>
      <c r="BR93" s="39">
        <f t="shared" si="93"/>
        <v>0.94110376888894265</v>
      </c>
      <c r="BS93" s="61">
        <f t="shared" ref="BS93:CI93" si="114">SUM(BS61:BS92)</f>
        <v>1684702369</v>
      </c>
      <c r="BT93" s="61">
        <f t="shared" si="114"/>
        <v>0</v>
      </c>
      <c r="BU93" s="61">
        <f t="shared" si="114"/>
        <v>0</v>
      </c>
      <c r="BV93" s="61">
        <f t="shared" si="114"/>
        <v>0</v>
      </c>
      <c r="BW93" s="61">
        <f t="shared" si="114"/>
        <v>0</v>
      </c>
      <c r="BX93" s="61">
        <f t="shared" si="114"/>
        <v>485265778</v>
      </c>
      <c r="BY93" s="61">
        <f t="shared" si="114"/>
        <v>49797725</v>
      </c>
      <c r="BZ93" s="61">
        <f t="shared" si="114"/>
        <v>0</v>
      </c>
      <c r="CA93" s="61">
        <f t="shared" si="114"/>
        <v>0</v>
      </c>
      <c r="CB93" s="61">
        <f t="shared" si="114"/>
        <v>0</v>
      </c>
      <c r="CC93" s="61">
        <f t="shared" si="114"/>
        <v>0</v>
      </c>
      <c r="CD93" s="61">
        <f t="shared" si="114"/>
        <v>0</v>
      </c>
      <c r="CE93" s="61">
        <f t="shared" si="114"/>
        <v>214647880</v>
      </c>
      <c r="CF93" s="61">
        <f t="shared" si="114"/>
        <v>317313672</v>
      </c>
      <c r="CG93" s="61">
        <f t="shared" si="114"/>
        <v>0</v>
      </c>
      <c r="CH93" s="61">
        <f t="shared" si="114"/>
        <v>0</v>
      </c>
      <c r="CI93" s="61">
        <f t="shared" si="114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617677314</v>
      </c>
      <c r="CN93" s="39">
        <f t="shared" si="84"/>
        <v>5.8896231111057351E-2</v>
      </c>
      <c r="CO93" s="61">
        <f t="shared" ref="CO93:DH93" si="115">SUM(CO61:CO92)</f>
        <v>105432178</v>
      </c>
      <c r="CP93" s="61">
        <f t="shared" si="115"/>
        <v>0</v>
      </c>
      <c r="CQ93" s="61">
        <f t="shared" si="115"/>
        <v>0</v>
      </c>
      <c r="CR93" s="61">
        <f t="shared" si="115"/>
        <v>0</v>
      </c>
      <c r="CS93" s="61">
        <f t="shared" si="115"/>
        <v>34734222</v>
      </c>
      <c r="CT93" s="61">
        <f t="shared" si="115"/>
        <v>202275</v>
      </c>
      <c r="CU93" s="61">
        <f t="shared" si="115"/>
        <v>0</v>
      </c>
      <c r="CV93" s="61">
        <f t="shared" si="115"/>
        <v>0</v>
      </c>
      <c r="CW93" s="61">
        <f t="shared" si="115"/>
        <v>0</v>
      </c>
      <c r="CX93" s="61">
        <f t="shared" si="115"/>
        <v>0</v>
      </c>
      <c r="CY93" s="61">
        <f t="shared" si="115"/>
        <v>0</v>
      </c>
      <c r="CZ93" s="61">
        <f t="shared" si="115"/>
        <v>29352120</v>
      </c>
      <c r="DA93" s="61">
        <f t="shared" si="115"/>
        <v>16587770</v>
      </c>
      <c r="DB93" s="61">
        <f t="shared" si="115"/>
        <v>0</v>
      </c>
      <c r="DC93" s="61">
        <f t="shared" si="115"/>
        <v>0</v>
      </c>
      <c r="DD93" s="61">
        <f t="shared" si="115"/>
        <v>0</v>
      </c>
      <c r="DE93" s="61">
        <f t="shared" si="115"/>
        <v>0</v>
      </c>
      <c r="DF93" s="61">
        <f t="shared" si="115"/>
        <v>0</v>
      </c>
      <c r="DG93" s="61">
        <f t="shared" si="115"/>
        <v>0</v>
      </c>
      <c r="DH93" s="61">
        <f t="shared" si="115"/>
        <v>24555791</v>
      </c>
      <c r="DJ93" s="29">
        <f t="shared" si="94"/>
        <v>1790134547</v>
      </c>
      <c r="DK93" s="29">
        <f t="shared" si="96"/>
        <v>1790134547</v>
      </c>
      <c r="DL93" s="29">
        <f t="shared" si="97"/>
        <v>1790134547</v>
      </c>
    </row>
    <row r="94" spans="1:117" ht="6" customHeight="1" thickTop="1" x14ac:dyDescent="0.25">
      <c r="B94" s="74"/>
      <c r="C94" s="75"/>
      <c r="D94" s="76"/>
      <c r="E94" s="77"/>
      <c r="F94" s="78"/>
      <c r="G94" s="79"/>
      <c r="H94" s="79"/>
      <c r="I94" s="79"/>
      <c r="J94" s="79"/>
      <c r="K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1"/>
      <c r="AB94" s="82"/>
      <c r="AC94" s="82"/>
      <c r="AD94" s="82"/>
      <c r="AE94" s="82"/>
      <c r="AF94" s="82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4"/>
      <c r="AX94" s="82"/>
      <c r="AY94" s="82"/>
      <c r="AZ94" s="82"/>
      <c r="BA94" s="82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4"/>
      <c r="BS94" s="82"/>
      <c r="BT94" s="82"/>
      <c r="BU94" s="82"/>
      <c r="BV94" s="82"/>
      <c r="BW94" s="82"/>
      <c r="BX94" s="83"/>
      <c r="BY94" s="83"/>
      <c r="BZ94" s="83"/>
      <c r="CA94" s="83"/>
      <c r="CB94" s="83"/>
      <c r="CC94" s="83"/>
      <c r="CD94" s="83"/>
      <c r="CE94" s="83"/>
      <c r="CF94" s="83"/>
      <c r="CG94" s="83"/>
      <c r="CH94" s="83"/>
      <c r="CI94" s="83"/>
      <c r="CJ94" s="83"/>
      <c r="CK94" s="83"/>
      <c r="CL94" s="83"/>
      <c r="CM94" s="83"/>
      <c r="CN94" s="84"/>
      <c r="CO94" s="82"/>
      <c r="CP94" s="82"/>
      <c r="CQ94" s="82"/>
      <c r="CR94" s="82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  <c r="DJ94" s="29"/>
      <c r="DK94" s="29"/>
      <c r="DL94" s="29"/>
    </row>
    <row r="95" spans="1:117" s="43" customFormat="1" ht="27.75" customHeight="1" x14ac:dyDescent="0.25">
      <c r="A95" s="256" t="s">
        <v>263</v>
      </c>
      <c r="B95" s="239" t="s">
        <v>264</v>
      </c>
      <c r="C95" s="69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6">SUM(H95:Z95)</f>
        <v>79098382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85000000-2924443-2977175</f>
        <v>79098382</v>
      </c>
      <c r="W95" s="24"/>
      <c r="X95" s="24"/>
      <c r="Y95" s="24"/>
      <c r="Z95" s="24"/>
      <c r="AA95" s="25">
        <f t="shared" ref="AA95:AA133" si="117">+AB95/G95</f>
        <v>0.81667619952074366</v>
      </c>
      <c r="AB95" s="24">
        <f t="shared" ref="AB95:AB112" si="118">SUM(AC95:AV95)</f>
        <v>64597766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+'[4]DICIEMBRE 2016'!$Z$1067</f>
        <v>64597766</v>
      </c>
      <c r="AS95" s="24"/>
      <c r="AT95" s="24"/>
      <c r="AU95" s="24"/>
      <c r="AV95" s="24"/>
      <c r="AW95" s="25">
        <f t="shared" ref="AW95:AW133" si="119">1-AA95</f>
        <v>0.18332380047925634</v>
      </c>
      <c r="AX95" s="24">
        <f t="shared" ref="AX95:AX112" si="120">SUM(AY95:BQ95)</f>
        <v>14500616</v>
      </c>
      <c r="AY95" s="24">
        <f t="shared" ref="AY95:BM109" si="121">H95-AD95</f>
        <v>0</v>
      </c>
      <c r="AZ95" s="24">
        <f t="shared" si="121"/>
        <v>0</v>
      </c>
      <c r="BA95" s="24">
        <f t="shared" si="121"/>
        <v>0</v>
      </c>
      <c r="BB95" s="24">
        <f t="shared" ref="BB95:BM101" si="122">+K95-AG95</f>
        <v>0</v>
      </c>
      <c r="BC95" s="24">
        <f t="shared" si="122"/>
        <v>0</v>
      </c>
      <c r="BD95" s="24">
        <f t="shared" si="122"/>
        <v>0</v>
      </c>
      <c r="BE95" s="24">
        <f t="shared" si="122"/>
        <v>0</v>
      </c>
      <c r="BF95" s="24">
        <f t="shared" si="122"/>
        <v>0</v>
      </c>
      <c r="BG95" s="24">
        <f t="shared" si="122"/>
        <v>0</v>
      </c>
      <c r="BH95" s="24">
        <f t="shared" si="122"/>
        <v>0</v>
      </c>
      <c r="BI95" s="24">
        <f t="shared" si="122"/>
        <v>0</v>
      </c>
      <c r="BJ95" s="24">
        <f t="shared" si="122"/>
        <v>0</v>
      </c>
      <c r="BK95" s="24">
        <f t="shared" si="122"/>
        <v>0</v>
      </c>
      <c r="BL95" s="24">
        <f t="shared" si="122"/>
        <v>0</v>
      </c>
      <c r="BM95" s="24">
        <f t="shared" si="122"/>
        <v>14500616</v>
      </c>
      <c r="BN95" s="24"/>
      <c r="BO95" s="24"/>
      <c r="BP95" s="24">
        <f t="shared" ref="BP95:BP109" si="123">Y95-AU95</f>
        <v>0</v>
      </c>
      <c r="BQ95" s="24">
        <f t="shared" ref="BQ95:BQ101" si="124">+Z95-AV95</f>
        <v>0</v>
      </c>
      <c r="BR95" s="25">
        <f t="shared" ref="BR95:BR133" si="125">+BS95/G95</f>
        <v>0.81667619952074366</v>
      </c>
      <c r="BS95" s="24">
        <f t="shared" ref="BS95:BS112" si="126">SUM(BT95:CM95)</f>
        <v>64597766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+'[4]DICIEMBRE 2016'!$H$1065</f>
        <v>64597766</v>
      </c>
      <c r="CJ95" s="24"/>
      <c r="CK95" s="24"/>
      <c r="CL95" s="24"/>
      <c r="CM95" s="24"/>
      <c r="CN95" s="25">
        <f t="shared" ref="CN95:CN133" si="127">1-BR95</f>
        <v>0.18332380047925634</v>
      </c>
      <c r="CO95" s="24">
        <f t="shared" ref="CO95:CO112" si="128">SUM(CP95:DH95)</f>
        <v>14500616</v>
      </c>
      <c r="CP95" s="24">
        <f t="shared" ref="CP95:CX109" si="129">H95-BU95</f>
        <v>0</v>
      </c>
      <c r="CQ95" s="24">
        <f t="shared" si="129"/>
        <v>0</v>
      </c>
      <c r="CR95" s="24">
        <f t="shared" si="129"/>
        <v>0</v>
      </c>
      <c r="CS95" s="24">
        <f t="shared" si="129"/>
        <v>0</v>
      </c>
      <c r="CT95" s="24">
        <f t="shared" si="129"/>
        <v>0</v>
      </c>
      <c r="CU95" s="24">
        <f t="shared" si="129"/>
        <v>0</v>
      </c>
      <c r="CV95" s="24">
        <f t="shared" ref="CV95:CX100" si="130">+N95-CA95</f>
        <v>0</v>
      </c>
      <c r="CW95" s="24">
        <f t="shared" si="130"/>
        <v>0</v>
      </c>
      <c r="CX95" s="24">
        <f t="shared" si="130"/>
        <v>0</v>
      </c>
      <c r="CY95" s="24">
        <f t="shared" ref="CY95:DA109" si="131">Q95-CD95</f>
        <v>0</v>
      </c>
      <c r="CZ95" s="24">
        <f t="shared" si="131"/>
        <v>0</v>
      </c>
      <c r="DA95" s="24">
        <f t="shared" si="131"/>
        <v>0</v>
      </c>
      <c r="DB95" s="24">
        <f t="shared" ref="DB95:DD101" si="132">+T95-CG95</f>
        <v>0</v>
      </c>
      <c r="DC95" s="24">
        <f t="shared" si="132"/>
        <v>0</v>
      </c>
      <c r="DD95" s="24">
        <f t="shared" si="132"/>
        <v>14500616</v>
      </c>
      <c r="DE95" s="24"/>
      <c r="DF95" s="24">
        <f t="shared" ref="DF95:DH101" si="133">+X95-CK95</f>
        <v>0</v>
      </c>
      <c r="DG95" s="24">
        <f t="shared" si="133"/>
        <v>0</v>
      </c>
      <c r="DH95" s="24">
        <f t="shared" si="133"/>
        <v>0</v>
      </c>
      <c r="DJ95" s="29">
        <f t="shared" si="94"/>
        <v>79098382</v>
      </c>
      <c r="DK95" s="29">
        <f t="shared" si="96"/>
        <v>79098382</v>
      </c>
      <c r="DL95" s="29">
        <f t="shared" si="97"/>
        <v>79098382</v>
      </c>
    </row>
    <row r="96" spans="1:117" s="43" customFormat="1" ht="25.5" customHeight="1" x14ac:dyDescent="0.25">
      <c r="A96" s="256"/>
      <c r="B96" s="240"/>
      <c r="C96" s="69" t="s">
        <v>268</v>
      </c>
      <c r="D96" s="21" t="s">
        <v>269</v>
      </c>
      <c r="E96" s="22">
        <v>301</v>
      </c>
      <c r="F96" s="23" t="s">
        <v>267</v>
      </c>
      <c r="G96" s="24">
        <f t="shared" si="116"/>
        <v>60901618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55000000+2924443+2977175</f>
        <v>60901618</v>
      </c>
      <c r="W96" s="24"/>
      <c r="X96" s="24"/>
      <c r="Y96" s="24"/>
      <c r="Z96" s="24"/>
      <c r="AA96" s="25">
        <f t="shared" si="117"/>
        <v>0.98409452766919925</v>
      </c>
      <c r="AB96" s="24">
        <f t="shared" si="118"/>
        <v>59932949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+'[4]DICIEMBRE 2016'!$Z$1098</f>
        <v>59932949</v>
      </c>
      <c r="AS96" s="24"/>
      <c r="AT96" s="24"/>
      <c r="AU96" s="24"/>
      <c r="AV96" s="24"/>
      <c r="AW96" s="25">
        <f t="shared" si="119"/>
        <v>1.5905472330800752E-2</v>
      </c>
      <c r="AX96" s="24">
        <f t="shared" si="120"/>
        <v>968669</v>
      </c>
      <c r="AY96" s="24">
        <f t="shared" si="121"/>
        <v>0</v>
      </c>
      <c r="AZ96" s="24">
        <f t="shared" si="121"/>
        <v>0</v>
      </c>
      <c r="BA96" s="24">
        <f t="shared" si="121"/>
        <v>0</v>
      </c>
      <c r="BB96" s="24">
        <f t="shared" si="122"/>
        <v>0</v>
      </c>
      <c r="BC96" s="24">
        <f t="shared" si="122"/>
        <v>0</v>
      </c>
      <c r="BD96" s="24">
        <f t="shared" si="122"/>
        <v>0</v>
      </c>
      <c r="BE96" s="24">
        <f t="shared" si="122"/>
        <v>0</v>
      </c>
      <c r="BF96" s="24">
        <f t="shared" si="122"/>
        <v>0</v>
      </c>
      <c r="BG96" s="24">
        <f t="shared" si="122"/>
        <v>0</v>
      </c>
      <c r="BH96" s="24">
        <f t="shared" si="122"/>
        <v>0</v>
      </c>
      <c r="BI96" s="24">
        <f t="shared" si="122"/>
        <v>0</v>
      </c>
      <c r="BJ96" s="24">
        <f t="shared" si="122"/>
        <v>0</v>
      </c>
      <c r="BK96" s="24">
        <f t="shared" si="122"/>
        <v>0</v>
      </c>
      <c r="BL96" s="24">
        <f t="shared" si="122"/>
        <v>0</v>
      </c>
      <c r="BM96" s="24">
        <f t="shared" si="122"/>
        <v>968669</v>
      </c>
      <c r="BN96" s="24"/>
      <c r="BO96" s="24"/>
      <c r="BP96" s="24">
        <f t="shared" si="123"/>
        <v>0</v>
      </c>
      <c r="BQ96" s="24">
        <f t="shared" si="124"/>
        <v>0</v>
      </c>
      <c r="BR96" s="25">
        <f t="shared" si="125"/>
        <v>0.98409452766919925</v>
      </c>
      <c r="BS96" s="24">
        <f t="shared" si="126"/>
        <v>59932949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+'[4]DICIEMBRE 2016'!$Z$1098</f>
        <v>59932949</v>
      </c>
      <c r="CJ96" s="24"/>
      <c r="CK96" s="24"/>
      <c r="CL96" s="24"/>
      <c r="CM96" s="24"/>
      <c r="CN96" s="25">
        <f t="shared" si="127"/>
        <v>1.5905472330800752E-2</v>
      </c>
      <c r="CO96" s="24">
        <f t="shared" si="128"/>
        <v>968669</v>
      </c>
      <c r="CP96" s="24">
        <f t="shared" si="129"/>
        <v>0</v>
      </c>
      <c r="CQ96" s="24">
        <f t="shared" si="129"/>
        <v>0</v>
      </c>
      <c r="CR96" s="24">
        <f t="shared" si="129"/>
        <v>0</v>
      </c>
      <c r="CS96" s="24">
        <f t="shared" si="129"/>
        <v>0</v>
      </c>
      <c r="CT96" s="24">
        <f t="shared" si="129"/>
        <v>0</v>
      </c>
      <c r="CU96" s="24">
        <f t="shared" si="129"/>
        <v>0</v>
      </c>
      <c r="CV96" s="24">
        <f t="shared" si="130"/>
        <v>0</v>
      </c>
      <c r="CW96" s="24">
        <f t="shared" si="130"/>
        <v>0</v>
      </c>
      <c r="CX96" s="24">
        <f t="shared" si="130"/>
        <v>0</v>
      </c>
      <c r="CY96" s="24">
        <f t="shared" si="131"/>
        <v>0</v>
      </c>
      <c r="CZ96" s="24">
        <f t="shared" si="131"/>
        <v>0</v>
      </c>
      <c r="DA96" s="24">
        <f t="shared" si="131"/>
        <v>0</v>
      </c>
      <c r="DB96" s="24">
        <f t="shared" si="132"/>
        <v>0</v>
      </c>
      <c r="DC96" s="24">
        <f t="shared" si="132"/>
        <v>0</v>
      </c>
      <c r="DD96" s="24">
        <f t="shared" si="132"/>
        <v>968669</v>
      </c>
      <c r="DE96" s="24"/>
      <c r="DF96" s="24">
        <f t="shared" si="133"/>
        <v>0</v>
      </c>
      <c r="DG96" s="24">
        <f t="shared" si="133"/>
        <v>0</v>
      </c>
      <c r="DH96" s="24">
        <f t="shared" si="133"/>
        <v>0</v>
      </c>
      <c r="DJ96" s="29">
        <f t="shared" si="94"/>
        <v>60901618</v>
      </c>
      <c r="DK96" s="29">
        <f t="shared" si="96"/>
        <v>60901618</v>
      </c>
      <c r="DL96" s="29">
        <f t="shared" si="97"/>
        <v>60901618</v>
      </c>
    </row>
    <row r="97" spans="1:116" s="43" customFormat="1" ht="21.75" customHeight="1" x14ac:dyDescent="0.25">
      <c r="A97" s="256"/>
      <c r="B97" s="240"/>
      <c r="C97" s="69" t="s">
        <v>270</v>
      </c>
      <c r="D97" s="21" t="s">
        <v>271</v>
      </c>
      <c r="E97" s="22">
        <v>301</v>
      </c>
      <c r="F97" s="23" t="s">
        <v>267</v>
      </c>
      <c r="G97" s="24">
        <f t="shared" si="116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7"/>
        <v>0.90678784974093263</v>
      </c>
      <c r="AB97" s="24">
        <f t="shared" si="118"/>
        <v>35002011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+'[4]DICIEMBRE 2016'!$Z$1123</f>
        <v>35002011</v>
      </c>
      <c r="AS97" s="24"/>
      <c r="AT97" s="24"/>
      <c r="AU97" s="24"/>
      <c r="AV97" s="24"/>
      <c r="AW97" s="25">
        <f t="shared" si="119"/>
        <v>9.3212150259067372E-2</v>
      </c>
      <c r="AX97" s="24">
        <f t="shared" si="120"/>
        <v>3597989</v>
      </c>
      <c r="AY97" s="24">
        <f t="shared" si="121"/>
        <v>0</v>
      </c>
      <c r="AZ97" s="24">
        <f t="shared" si="121"/>
        <v>0</v>
      </c>
      <c r="BA97" s="24">
        <f t="shared" si="121"/>
        <v>0</v>
      </c>
      <c r="BB97" s="24">
        <f t="shared" si="122"/>
        <v>0</v>
      </c>
      <c r="BC97" s="24">
        <f t="shared" si="122"/>
        <v>0</v>
      </c>
      <c r="BD97" s="24">
        <f t="shared" si="122"/>
        <v>0</v>
      </c>
      <c r="BE97" s="24">
        <f t="shared" si="122"/>
        <v>0</v>
      </c>
      <c r="BF97" s="24">
        <f t="shared" si="122"/>
        <v>0</v>
      </c>
      <c r="BG97" s="24">
        <f t="shared" si="122"/>
        <v>0</v>
      </c>
      <c r="BH97" s="24">
        <f t="shared" si="122"/>
        <v>0</v>
      </c>
      <c r="BI97" s="24">
        <f t="shared" si="122"/>
        <v>0</v>
      </c>
      <c r="BJ97" s="24">
        <f t="shared" si="122"/>
        <v>0</v>
      </c>
      <c r="BK97" s="24">
        <f t="shared" si="122"/>
        <v>0</v>
      </c>
      <c r="BL97" s="24">
        <f t="shared" si="122"/>
        <v>0</v>
      </c>
      <c r="BM97" s="24">
        <f t="shared" si="122"/>
        <v>3597989</v>
      </c>
      <c r="BN97" s="24"/>
      <c r="BO97" s="24"/>
      <c r="BP97" s="24">
        <f t="shared" si="123"/>
        <v>0</v>
      </c>
      <c r="BQ97" s="24">
        <f t="shared" si="124"/>
        <v>0</v>
      </c>
      <c r="BR97" s="25">
        <f t="shared" si="125"/>
        <v>0.90678784974093263</v>
      </c>
      <c r="BS97" s="24">
        <f t="shared" si="126"/>
        <v>35002011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+'[4]DICIEMBRE 2016'!$Z$1123</f>
        <v>35002011</v>
      </c>
      <c r="CJ97" s="24"/>
      <c r="CK97" s="24"/>
      <c r="CL97" s="24"/>
      <c r="CM97" s="24"/>
      <c r="CN97" s="25">
        <f t="shared" si="127"/>
        <v>9.3212150259067372E-2</v>
      </c>
      <c r="CO97" s="24">
        <f t="shared" si="128"/>
        <v>3597989</v>
      </c>
      <c r="CP97" s="24">
        <f t="shared" si="129"/>
        <v>0</v>
      </c>
      <c r="CQ97" s="24">
        <f t="shared" si="129"/>
        <v>0</v>
      </c>
      <c r="CR97" s="24">
        <f t="shared" si="129"/>
        <v>0</v>
      </c>
      <c r="CS97" s="24">
        <f t="shared" si="129"/>
        <v>0</v>
      </c>
      <c r="CT97" s="24">
        <f t="shared" si="129"/>
        <v>0</v>
      </c>
      <c r="CU97" s="24">
        <f t="shared" si="129"/>
        <v>0</v>
      </c>
      <c r="CV97" s="24">
        <f t="shared" si="130"/>
        <v>0</v>
      </c>
      <c r="CW97" s="24">
        <f t="shared" si="130"/>
        <v>0</v>
      </c>
      <c r="CX97" s="24">
        <f t="shared" si="130"/>
        <v>0</v>
      </c>
      <c r="CY97" s="24">
        <f t="shared" si="131"/>
        <v>0</v>
      </c>
      <c r="CZ97" s="24">
        <f t="shared" si="131"/>
        <v>0</v>
      </c>
      <c r="DA97" s="24">
        <f t="shared" si="131"/>
        <v>0</v>
      </c>
      <c r="DB97" s="24">
        <f t="shared" si="132"/>
        <v>0</v>
      </c>
      <c r="DC97" s="24">
        <f t="shared" si="132"/>
        <v>0</v>
      </c>
      <c r="DD97" s="24">
        <f t="shared" si="132"/>
        <v>3597989</v>
      </c>
      <c r="DE97" s="24"/>
      <c r="DF97" s="24">
        <f t="shared" si="133"/>
        <v>0</v>
      </c>
      <c r="DG97" s="24">
        <f t="shared" si="133"/>
        <v>0</v>
      </c>
      <c r="DH97" s="24">
        <f t="shared" si="133"/>
        <v>0</v>
      </c>
      <c r="DJ97" s="29">
        <f t="shared" si="94"/>
        <v>38600000</v>
      </c>
      <c r="DK97" s="29">
        <f t="shared" si="96"/>
        <v>38600000</v>
      </c>
      <c r="DL97" s="29">
        <f t="shared" si="97"/>
        <v>38600000</v>
      </c>
    </row>
    <row r="98" spans="1:116" ht="31.5" customHeight="1" x14ac:dyDescent="0.25">
      <c r="A98" s="256"/>
      <c r="B98" s="240"/>
      <c r="C98" s="69" t="s">
        <v>272</v>
      </c>
      <c r="D98" s="21" t="s">
        <v>273</v>
      </c>
      <c r="E98" s="22">
        <v>301</v>
      </c>
      <c r="F98" s="23" t="s">
        <v>274</v>
      </c>
      <c r="G98" s="24">
        <f t="shared" si="116"/>
        <v>73000000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25000000+1000000+5000000+20000000+20000000</f>
        <v>71000000</v>
      </c>
      <c r="AA98" s="25">
        <f t="shared" si="117"/>
        <v>0.938277904109589</v>
      </c>
      <c r="AB98" s="24">
        <f>SUM(AC98:AV98)</f>
        <v>68494287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+'[9]AGOSTO 2016'!$Z$680</f>
        <v>2000000</v>
      </c>
      <c r="AS98" s="24"/>
      <c r="AT98" s="24"/>
      <c r="AU98" s="24"/>
      <c r="AV98" s="24">
        <f>+'[4]DICIEMBRE 2016'!$AG$1142</f>
        <v>66494287</v>
      </c>
      <c r="AW98" s="25">
        <f t="shared" si="119"/>
        <v>6.1722095890411E-2</v>
      </c>
      <c r="AX98" s="24">
        <f t="shared" si="120"/>
        <v>4505713</v>
      </c>
      <c r="AY98" s="24">
        <f t="shared" si="121"/>
        <v>0</v>
      </c>
      <c r="AZ98" s="24">
        <f t="shared" si="121"/>
        <v>0</v>
      </c>
      <c r="BA98" s="24">
        <f t="shared" si="121"/>
        <v>0</v>
      </c>
      <c r="BB98" s="24">
        <f t="shared" si="122"/>
        <v>0</v>
      </c>
      <c r="BC98" s="24">
        <f t="shared" si="122"/>
        <v>0</v>
      </c>
      <c r="BD98" s="24">
        <f t="shared" si="122"/>
        <v>0</v>
      </c>
      <c r="BE98" s="24">
        <f t="shared" si="122"/>
        <v>0</v>
      </c>
      <c r="BF98" s="24">
        <f t="shared" si="122"/>
        <v>0</v>
      </c>
      <c r="BG98" s="24">
        <f t="shared" si="122"/>
        <v>0</v>
      </c>
      <c r="BH98" s="24">
        <f t="shared" si="122"/>
        <v>0</v>
      </c>
      <c r="BI98" s="24">
        <f t="shared" si="122"/>
        <v>0</v>
      </c>
      <c r="BJ98" s="24">
        <f t="shared" si="122"/>
        <v>0</v>
      </c>
      <c r="BK98" s="24">
        <f t="shared" si="122"/>
        <v>0</v>
      </c>
      <c r="BL98" s="24">
        <f t="shared" si="122"/>
        <v>0</v>
      </c>
      <c r="BM98" s="24">
        <f t="shared" si="122"/>
        <v>0</v>
      </c>
      <c r="BN98" s="24"/>
      <c r="BO98" s="24"/>
      <c r="BP98" s="24">
        <f t="shared" si="123"/>
        <v>0</v>
      </c>
      <c r="BQ98" s="24">
        <f t="shared" si="124"/>
        <v>4505713</v>
      </c>
      <c r="BR98" s="25">
        <f t="shared" si="125"/>
        <v>0.938277904109589</v>
      </c>
      <c r="BS98" s="24">
        <f t="shared" si="126"/>
        <v>68494287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+'[4]DICIEMBRE 2016'!$AG$1142</f>
        <v>66494287</v>
      </c>
      <c r="CN98" s="25">
        <f t="shared" si="127"/>
        <v>6.1722095890411E-2</v>
      </c>
      <c r="CO98" s="24">
        <f t="shared" si="128"/>
        <v>4505713</v>
      </c>
      <c r="CP98" s="24">
        <f t="shared" si="129"/>
        <v>0</v>
      </c>
      <c r="CQ98" s="24">
        <f t="shared" si="129"/>
        <v>0</v>
      </c>
      <c r="CR98" s="24">
        <f t="shared" si="129"/>
        <v>0</v>
      </c>
      <c r="CS98" s="24">
        <f t="shared" si="129"/>
        <v>0</v>
      </c>
      <c r="CT98" s="24">
        <f t="shared" si="129"/>
        <v>0</v>
      </c>
      <c r="CU98" s="24">
        <f t="shared" si="129"/>
        <v>0</v>
      </c>
      <c r="CV98" s="24">
        <f t="shared" si="130"/>
        <v>0</v>
      </c>
      <c r="CW98" s="24">
        <f t="shared" si="130"/>
        <v>0</v>
      </c>
      <c r="CX98" s="24">
        <f t="shared" si="130"/>
        <v>0</v>
      </c>
      <c r="CY98" s="24">
        <f t="shared" si="131"/>
        <v>0</v>
      </c>
      <c r="CZ98" s="24">
        <f t="shared" si="131"/>
        <v>0</v>
      </c>
      <c r="DA98" s="24">
        <f t="shared" si="131"/>
        <v>0</v>
      </c>
      <c r="DB98" s="24">
        <f t="shared" si="132"/>
        <v>0</v>
      </c>
      <c r="DC98" s="24">
        <f t="shared" si="132"/>
        <v>0</v>
      </c>
      <c r="DD98" s="24">
        <f t="shared" si="132"/>
        <v>0</v>
      </c>
      <c r="DE98" s="24"/>
      <c r="DF98" s="24">
        <f t="shared" si="133"/>
        <v>0</v>
      </c>
      <c r="DG98" s="24">
        <f t="shared" si="133"/>
        <v>0</v>
      </c>
      <c r="DH98" s="24">
        <f t="shared" si="133"/>
        <v>4505713</v>
      </c>
      <c r="DJ98" s="29">
        <f t="shared" si="94"/>
        <v>73000000</v>
      </c>
      <c r="DK98" s="29">
        <f t="shared" si="96"/>
        <v>73000000</v>
      </c>
      <c r="DL98" s="29">
        <f t="shared" si="97"/>
        <v>73000000</v>
      </c>
    </row>
    <row r="99" spans="1:116" ht="24.75" customHeight="1" x14ac:dyDescent="0.25">
      <c r="A99" s="256"/>
      <c r="B99" s="240"/>
      <c r="C99" s="69" t="s">
        <v>275</v>
      </c>
      <c r="D99" s="21" t="s">
        <v>276</v>
      </c>
      <c r="E99" s="22">
        <v>301</v>
      </c>
      <c r="F99" s="23" t="s">
        <v>267</v>
      </c>
      <c r="G99" s="24">
        <f t="shared" si="116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7"/>
        <v>0.99650888235294122</v>
      </c>
      <c r="AB99" s="24">
        <f t="shared" si="118"/>
        <v>33881302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+'[5]NOVIEMBRE 2016'!$Z$1111</f>
        <v>33881302</v>
      </c>
      <c r="AS99" s="24"/>
      <c r="AT99" s="24"/>
      <c r="AU99" s="24"/>
      <c r="AV99" s="24"/>
      <c r="AW99" s="25">
        <f t="shared" si="119"/>
        <v>3.4911176470587835E-3</v>
      </c>
      <c r="AX99" s="24">
        <f t="shared" si="120"/>
        <v>118698</v>
      </c>
      <c r="AY99" s="24">
        <f t="shared" si="121"/>
        <v>0</v>
      </c>
      <c r="AZ99" s="24">
        <f t="shared" si="121"/>
        <v>0</v>
      </c>
      <c r="BA99" s="24">
        <f t="shared" si="121"/>
        <v>0</v>
      </c>
      <c r="BB99" s="24">
        <f t="shared" si="122"/>
        <v>0</v>
      </c>
      <c r="BC99" s="24">
        <f t="shared" si="122"/>
        <v>0</v>
      </c>
      <c r="BD99" s="24">
        <f t="shared" si="122"/>
        <v>0</v>
      </c>
      <c r="BE99" s="24">
        <f t="shared" si="122"/>
        <v>0</v>
      </c>
      <c r="BF99" s="24">
        <f t="shared" si="122"/>
        <v>0</v>
      </c>
      <c r="BG99" s="24">
        <f t="shared" si="122"/>
        <v>0</v>
      </c>
      <c r="BH99" s="24">
        <f t="shared" si="122"/>
        <v>0</v>
      </c>
      <c r="BI99" s="24">
        <f t="shared" si="122"/>
        <v>0</v>
      </c>
      <c r="BJ99" s="24">
        <f t="shared" si="122"/>
        <v>0</v>
      </c>
      <c r="BK99" s="24">
        <f t="shared" si="122"/>
        <v>0</v>
      </c>
      <c r="BL99" s="24">
        <f t="shared" si="122"/>
        <v>0</v>
      </c>
      <c r="BM99" s="24">
        <f t="shared" si="122"/>
        <v>118698</v>
      </c>
      <c r="BN99" s="24"/>
      <c r="BO99" s="24"/>
      <c r="BP99" s="24">
        <f t="shared" si="123"/>
        <v>0</v>
      </c>
      <c r="BQ99" s="24">
        <f t="shared" si="124"/>
        <v>0</v>
      </c>
      <c r="BR99" s="25">
        <f t="shared" si="125"/>
        <v>0.99650888235294122</v>
      </c>
      <c r="BS99" s="24">
        <f t="shared" si="126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+'[5]NOVIEMBRE 2016'!$H$1109</f>
        <v>33881302</v>
      </c>
      <c r="CJ99" s="24"/>
      <c r="CK99" s="24"/>
      <c r="CL99" s="24"/>
      <c r="CM99" s="24"/>
      <c r="CN99" s="25">
        <f t="shared" si="127"/>
        <v>3.4911176470587835E-3</v>
      </c>
      <c r="CO99" s="24">
        <f t="shared" si="128"/>
        <v>118698</v>
      </c>
      <c r="CP99" s="24">
        <f t="shared" si="129"/>
        <v>0</v>
      </c>
      <c r="CQ99" s="24">
        <f t="shared" si="129"/>
        <v>0</v>
      </c>
      <c r="CR99" s="24">
        <f t="shared" si="129"/>
        <v>0</v>
      </c>
      <c r="CS99" s="24">
        <f t="shared" si="129"/>
        <v>0</v>
      </c>
      <c r="CT99" s="24">
        <f t="shared" si="129"/>
        <v>0</v>
      </c>
      <c r="CU99" s="24">
        <f t="shared" si="129"/>
        <v>0</v>
      </c>
      <c r="CV99" s="24">
        <f t="shared" si="130"/>
        <v>0</v>
      </c>
      <c r="CW99" s="24">
        <f t="shared" si="130"/>
        <v>0</v>
      </c>
      <c r="CX99" s="24">
        <f t="shared" si="130"/>
        <v>0</v>
      </c>
      <c r="CY99" s="24">
        <f t="shared" si="131"/>
        <v>0</v>
      </c>
      <c r="CZ99" s="24">
        <f t="shared" si="131"/>
        <v>0</v>
      </c>
      <c r="DA99" s="24">
        <f t="shared" si="131"/>
        <v>0</v>
      </c>
      <c r="DB99" s="24">
        <f t="shared" si="132"/>
        <v>0</v>
      </c>
      <c r="DC99" s="24">
        <f t="shared" si="132"/>
        <v>0</v>
      </c>
      <c r="DD99" s="24">
        <f t="shared" si="132"/>
        <v>118698</v>
      </c>
      <c r="DE99" s="24"/>
      <c r="DF99" s="24">
        <f t="shared" si="133"/>
        <v>0</v>
      </c>
      <c r="DG99" s="24">
        <f t="shared" si="133"/>
        <v>0</v>
      </c>
      <c r="DH99" s="24">
        <f t="shared" si="133"/>
        <v>0</v>
      </c>
      <c r="DJ99" s="29">
        <f t="shared" si="94"/>
        <v>34000000</v>
      </c>
      <c r="DK99" s="29">
        <f t="shared" si="96"/>
        <v>34000000</v>
      </c>
      <c r="DL99" s="29">
        <f t="shared" si="97"/>
        <v>34000000</v>
      </c>
    </row>
    <row r="100" spans="1:116" ht="20.25" customHeight="1" x14ac:dyDescent="0.25">
      <c r="A100" s="256"/>
      <c r="B100" s="240"/>
      <c r="C100" s="69" t="s">
        <v>277</v>
      </c>
      <c r="D100" s="21" t="s">
        <v>278</v>
      </c>
      <c r="E100" s="22">
        <v>301</v>
      </c>
      <c r="F100" s="23" t="s">
        <v>190</v>
      </c>
      <c r="G100" s="24">
        <f t="shared" si="116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7"/>
        <v>0.90455957879404347</v>
      </c>
      <c r="AB100" s="24">
        <f t="shared" si="118"/>
        <v>102382670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+'[2]DICIEMBRE 2016'!$Y$1194</f>
        <v>48042599</v>
      </c>
      <c r="AR100" s="24">
        <f>+'[4]DICIEMBRE 2016'!$Z$1199</f>
        <v>54340071</v>
      </c>
      <c r="AS100" s="24"/>
      <c r="AT100" s="24"/>
      <c r="AU100" s="24"/>
      <c r="AV100" s="24"/>
      <c r="AW100" s="25">
        <f t="shared" si="119"/>
        <v>9.5440421205956527E-2</v>
      </c>
      <c r="AX100" s="24">
        <f t="shared" si="120"/>
        <v>10802434</v>
      </c>
      <c r="AY100" s="24">
        <f t="shared" si="121"/>
        <v>0</v>
      </c>
      <c r="AZ100" s="24">
        <f t="shared" si="121"/>
        <v>0</v>
      </c>
      <c r="BA100" s="24">
        <f t="shared" si="121"/>
        <v>0</v>
      </c>
      <c r="BB100" s="24">
        <f t="shared" si="122"/>
        <v>0</v>
      </c>
      <c r="BC100" s="24">
        <f t="shared" si="122"/>
        <v>0</v>
      </c>
      <c r="BD100" s="24">
        <f t="shared" si="122"/>
        <v>0</v>
      </c>
      <c r="BE100" s="24">
        <f t="shared" si="122"/>
        <v>0</v>
      </c>
      <c r="BF100" s="24">
        <f t="shared" si="122"/>
        <v>0</v>
      </c>
      <c r="BG100" s="24">
        <f t="shared" si="122"/>
        <v>0</v>
      </c>
      <c r="BH100" s="24">
        <f t="shared" si="122"/>
        <v>0</v>
      </c>
      <c r="BI100" s="24">
        <f t="shared" si="122"/>
        <v>0</v>
      </c>
      <c r="BJ100" s="24">
        <f t="shared" si="122"/>
        <v>0</v>
      </c>
      <c r="BK100" s="24">
        <f t="shared" si="122"/>
        <v>0</v>
      </c>
      <c r="BL100" s="24">
        <f t="shared" si="122"/>
        <v>5142505</v>
      </c>
      <c r="BM100" s="24">
        <f t="shared" si="122"/>
        <v>5659929</v>
      </c>
      <c r="BN100" s="24"/>
      <c r="BO100" s="24"/>
      <c r="BP100" s="24">
        <f t="shared" si="123"/>
        <v>0</v>
      </c>
      <c r="BQ100" s="24">
        <f t="shared" si="124"/>
        <v>0</v>
      </c>
      <c r="BR100" s="25">
        <f t="shared" si="125"/>
        <v>0.90455957879404347</v>
      </c>
      <c r="BS100" s="24">
        <f t="shared" si="126"/>
        <v>102382670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+'[5]NOVIEMBRE 2016'!$H$1149</f>
        <v>48042599</v>
      </c>
      <c r="CI100" s="24">
        <f>+'[4]DICIEMBRE 2016'!$Z$1199</f>
        <v>54340071</v>
      </c>
      <c r="CJ100" s="24"/>
      <c r="CK100" s="24"/>
      <c r="CL100" s="24"/>
      <c r="CM100" s="24"/>
      <c r="CN100" s="25">
        <f t="shared" si="127"/>
        <v>9.5440421205956527E-2</v>
      </c>
      <c r="CO100" s="24">
        <f t="shared" si="128"/>
        <v>10802434</v>
      </c>
      <c r="CP100" s="24">
        <f t="shared" si="129"/>
        <v>0</v>
      </c>
      <c r="CQ100" s="24">
        <f t="shared" si="129"/>
        <v>0</v>
      </c>
      <c r="CR100" s="24">
        <f t="shared" si="129"/>
        <v>0</v>
      </c>
      <c r="CS100" s="24">
        <f t="shared" si="129"/>
        <v>0</v>
      </c>
      <c r="CT100" s="24">
        <f t="shared" si="129"/>
        <v>0</v>
      </c>
      <c r="CU100" s="24">
        <f t="shared" si="129"/>
        <v>0</v>
      </c>
      <c r="CV100" s="24">
        <f t="shared" si="130"/>
        <v>0</v>
      </c>
      <c r="CW100" s="24">
        <f t="shared" si="130"/>
        <v>0</v>
      </c>
      <c r="CX100" s="24">
        <f t="shared" si="130"/>
        <v>0</v>
      </c>
      <c r="CY100" s="24">
        <f t="shared" si="131"/>
        <v>0</v>
      </c>
      <c r="CZ100" s="24">
        <f t="shared" si="131"/>
        <v>0</v>
      </c>
      <c r="DA100" s="24">
        <f t="shared" si="131"/>
        <v>0</v>
      </c>
      <c r="DB100" s="24">
        <f t="shared" si="132"/>
        <v>0</v>
      </c>
      <c r="DC100" s="24">
        <f t="shared" si="132"/>
        <v>5142505</v>
      </c>
      <c r="DD100" s="24">
        <f t="shared" si="132"/>
        <v>5659929</v>
      </c>
      <c r="DE100" s="24"/>
      <c r="DF100" s="24">
        <f t="shared" si="133"/>
        <v>0</v>
      </c>
      <c r="DG100" s="24">
        <f t="shared" si="133"/>
        <v>0</v>
      </c>
      <c r="DH100" s="24">
        <f t="shared" si="133"/>
        <v>0</v>
      </c>
      <c r="DJ100" s="29">
        <f t="shared" si="94"/>
        <v>113185104</v>
      </c>
      <c r="DK100" s="29">
        <f t="shared" si="96"/>
        <v>113185104</v>
      </c>
      <c r="DL100" s="29">
        <f t="shared" si="97"/>
        <v>113185104</v>
      </c>
    </row>
    <row r="101" spans="1:116" ht="21" customHeight="1" x14ac:dyDescent="0.25">
      <c r="A101" s="256"/>
      <c r="B101" s="240"/>
      <c r="C101" s="69" t="s">
        <v>279</v>
      </c>
      <c r="D101" s="21" t="s">
        <v>280</v>
      </c>
      <c r="E101" s="22">
        <v>301</v>
      </c>
      <c r="F101" s="23" t="s">
        <v>281</v>
      </c>
      <c r="G101" s="24">
        <f t="shared" si="116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 t="e">
        <f t="shared" si="117"/>
        <v>#DIV/0!</v>
      </c>
      <c r="AB101" s="24">
        <f t="shared" si="118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 t="e">
        <f t="shared" si="119"/>
        <v>#DIV/0!</v>
      </c>
      <c r="AX101" s="24">
        <f t="shared" si="120"/>
        <v>0</v>
      </c>
      <c r="AY101" s="24">
        <f t="shared" si="121"/>
        <v>0</v>
      </c>
      <c r="AZ101" s="24">
        <f t="shared" si="121"/>
        <v>0</v>
      </c>
      <c r="BA101" s="24">
        <f t="shared" si="121"/>
        <v>0</v>
      </c>
      <c r="BB101" s="24">
        <f t="shared" si="122"/>
        <v>0</v>
      </c>
      <c r="BC101" s="24">
        <f t="shared" si="122"/>
        <v>0</v>
      </c>
      <c r="BD101" s="24">
        <f t="shared" si="122"/>
        <v>0</v>
      </c>
      <c r="BE101" s="24">
        <f t="shared" si="122"/>
        <v>0</v>
      </c>
      <c r="BF101" s="24">
        <f t="shared" si="122"/>
        <v>0</v>
      </c>
      <c r="BG101" s="24">
        <f t="shared" si="122"/>
        <v>0</v>
      </c>
      <c r="BH101" s="24">
        <f t="shared" si="122"/>
        <v>0</v>
      </c>
      <c r="BI101" s="24">
        <f t="shared" si="122"/>
        <v>0</v>
      </c>
      <c r="BJ101" s="24">
        <f t="shared" si="122"/>
        <v>0</v>
      </c>
      <c r="BK101" s="24">
        <f t="shared" si="122"/>
        <v>0</v>
      </c>
      <c r="BL101" s="24">
        <f t="shared" si="122"/>
        <v>0</v>
      </c>
      <c r="BM101" s="24">
        <f t="shared" si="122"/>
        <v>0</v>
      </c>
      <c r="BN101" s="24"/>
      <c r="BO101" s="24"/>
      <c r="BP101" s="24">
        <f t="shared" si="123"/>
        <v>0</v>
      </c>
      <c r="BQ101" s="24">
        <f t="shared" si="124"/>
        <v>0</v>
      </c>
      <c r="BR101" s="25" t="e">
        <f t="shared" si="125"/>
        <v>#DIV/0!</v>
      </c>
      <c r="BS101" s="24">
        <f t="shared" si="126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 t="e">
        <f t="shared" si="127"/>
        <v>#DIV/0!</v>
      </c>
      <c r="CO101" s="24">
        <f t="shared" si="128"/>
        <v>0</v>
      </c>
      <c r="CP101" s="24">
        <f t="shared" si="129"/>
        <v>0</v>
      </c>
      <c r="CQ101" s="24">
        <f t="shared" si="129"/>
        <v>0</v>
      </c>
      <c r="CR101" s="24">
        <f t="shared" si="129"/>
        <v>0</v>
      </c>
      <c r="CS101" s="24">
        <f t="shared" si="129"/>
        <v>0</v>
      </c>
      <c r="CT101" s="24">
        <f t="shared" si="129"/>
        <v>0</v>
      </c>
      <c r="CU101" s="24">
        <f t="shared" si="129"/>
        <v>0</v>
      </c>
      <c r="CV101" s="24">
        <f t="shared" si="129"/>
        <v>0</v>
      </c>
      <c r="CW101" s="24">
        <f t="shared" si="129"/>
        <v>0</v>
      </c>
      <c r="CX101" s="24">
        <f t="shared" si="129"/>
        <v>0</v>
      </c>
      <c r="CY101" s="24">
        <f t="shared" si="131"/>
        <v>0</v>
      </c>
      <c r="CZ101" s="24">
        <f t="shared" si="131"/>
        <v>0</v>
      </c>
      <c r="DA101" s="24">
        <f t="shared" si="131"/>
        <v>0</v>
      </c>
      <c r="DB101" s="24">
        <f t="shared" si="132"/>
        <v>0</v>
      </c>
      <c r="DC101" s="24">
        <f t="shared" si="132"/>
        <v>0</v>
      </c>
      <c r="DD101" s="24">
        <f t="shared" si="132"/>
        <v>0</v>
      </c>
      <c r="DE101" s="24"/>
      <c r="DF101" s="24">
        <f t="shared" si="133"/>
        <v>0</v>
      </c>
      <c r="DG101" s="24">
        <f t="shared" si="133"/>
        <v>0</v>
      </c>
      <c r="DH101" s="24">
        <f t="shared" si="133"/>
        <v>0</v>
      </c>
      <c r="DJ101" s="29">
        <f t="shared" si="94"/>
        <v>0</v>
      </c>
      <c r="DK101" s="29">
        <f t="shared" si="96"/>
        <v>0</v>
      </c>
      <c r="DL101" s="29">
        <f t="shared" si="97"/>
        <v>0</v>
      </c>
    </row>
    <row r="102" spans="1:116" ht="30" x14ac:dyDescent="0.25">
      <c r="A102" s="256"/>
      <c r="B102" s="241"/>
      <c r="C102" s="69" t="s">
        <v>282</v>
      </c>
      <c r="D102" s="21" t="s">
        <v>283</v>
      </c>
      <c r="E102" s="22">
        <v>301</v>
      </c>
      <c r="F102" s="23" t="s">
        <v>267</v>
      </c>
      <c r="G102" s="24">
        <f t="shared" si="116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7"/>
        <v>0.87590276923076926</v>
      </c>
      <c r="AB102" s="24">
        <f t="shared" si="118"/>
        <v>22773472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+'[2]DICIEMBRE 2016'!$Z$1247</f>
        <v>22773472</v>
      </c>
      <c r="AS102" s="24"/>
      <c r="AT102" s="24"/>
      <c r="AU102" s="24"/>
      <c r="AV102" s="24"/>
      <c r="AW102" s="25">
        <f t="shared" si="119"/>
        <v>0.12409723076923074</v>
      </c>
      <c r="AX102" s="24">
        <f t="shared" si="120"/>
        <v>3226528</v>
      </c>
      <c r="AY102" s="24">
        <f t="shared" si="121"/>
        <v>0</v>
      </c>
      <c r="AZ102" s="24">
        <f t="shared" si="121"/>
        <v>0</v>
      </c>
      <c r="BA102" s="24">
        <f t="shared" si="121"/>
        <v>0</v>
      </c>
      <c r="BB102" s="24">
        <f t="shared" si="121"/>
        <v>0</v>
      </c>
      <c r="BC102" s="24">
        <f t="shared" si="121"/>
        <v>0</v>
      </c>
      <c r="BD102" s="24">
        <f t="shared" si="121"/>
        <v>0</v>
      </c>
      <c r="BE102" s="24">
        <f t="shared" si="121"/>
        <v>0</v>
      </c>
      <c r="BF102" s="24">
        <f t="shared" si="121"/>
        <v>0</v>
      </c>
      <c r="BG102" s="24">
        <f t="shared" si="121"/>
        <v>0</v>
      </c>
      <c r="BH102" s="24">
        <f t="shared" si="121"/>
        <v>0</v>
      </c>
      <c r="BI102" s="24">
        <f t="shared" si="121"/>
        <v>0</v>
      </c>
      <c r="BJ102" s="24">
        <f t="shared" si="121"/>
        <v>0</v>
      </c>
      <c r="BK102" s="24">
        <f t="shared" si="121"/>
        <v>0</v>
      </c>
      <c r="BL102" s="24">
        <f t="shared" si="121"/>
        <v>0</v>
      </c>
      <c r="BM102" s="24">
        <f t="shared" si="121"/>
        <v>3226528</v>
      </c>
      <c r="BN102" s="24"/>
      <c r="BO102" s="24">
        <f>X102-AT102</f>
        <v>0</v>
      </c>
      <c r="BP102" s="24">
        <f t="shared" si="123"/>
        <v>0</v>
      </c>
      <c r="BQ102" s="24">
        <f>Z102-AV102</f>
        <v>0</v>
      </c>
      <c r="BR102" s="25">
        <f t="shared" si="125"/>
        <v>0.87590276923076926</v>
      </c>
      <c r="BS102" s="24">
        <f t="shared" si="126"/>
        <v>22773472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+'[2]DICIEMBRE 2016'!$H$1245</f>
        <v>22773472</v>
      </c>
      <c r="CJ102" s="24"/>
      <c r="CK102" s="24"/>
      <c r="CL102" s="24"/>
      <c r="CM102" s="24"/>
      <c r="CN102" s="25">
        <f t="shared" si="127"/>
        <v>0.12409723076923074</v>
      </c>
      <c r="CO102" s="24">
        <f t="shared" si="128"/>
        <v>3226528</v>
      </c>
      <c r="CP102" s="24">
        <f t="shared" si="129"/>
        <v>0</v>
      </c>
      <c r="CQ102" s="24">
        <f t="shared" si="129"/>
        <v>0</v>
      </c>
      <c r="CR102" s="24">
        <f t="shared" si="129"/>
        <v>0</v>
      </c>
      <c r="CS102" s="24">
        <f t="shared" si="129"/>
        <v>0</v>
      </c>
      <c r="CT102" s="24">
        <f t="shared" si="129"/>
        <v>0</v>
      </c>
      <c r="CU102" s="24">
        <f t="shared" si="129"/>
        <v>0</v>
      </c>
      <c r="CV102" s="24">
        <f t="shared" si="129"/>
        <v>0</v>
      </c>
      <c r="CW102" s="24">
        <f t="shared" si="129"/>
        <v>0</v>
      </c>
      <c r="CX102" s="24">
        <f t="shared" si="129"/>
        <v>0</v>
      </c>
      <c r="CY102" s="24">
        <f t="shared" si="131"/>
        <v>0</v>
      </c>
      <c r="CZ102" s="24">
        <f t="shared" si="131"/>
        <v>0</v>
      </c>
      <c r="DA102" s="24">
        <f t="shared" si="131"/>
        <v>0</v>
      </c>
      <c r="DB102" s="24">
        <f>T102-CG102</f>
        <v>0</v>
      </c>
      <c r="DC102" s="24">
        <f>U102-CH102</f>
        <v>0</v>
      </c>
      <c r="DD102" s="24">
        <f>V102-CI102</f>
        <v>3226528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  <c r="DJ102" s="29">
        <f t="shared" si="94"/>
        <v>26000000</v>
      </c>
      <c r="DK102" s="29">
        <f t="shared" si="96"/>
        <v>26000000</v>
      </c>
      <c r="DL102" s="29">
        <f t="shared" si="97"/>
        <v>26000000</v>
      </c>
    </row>
    <row r="103" spans="1:116" ht="29.25" customHeight="1" x14ac:dyDescent="0.25">
      <c r="A103" s="256"/>
      <c r="B103" s="86" t="s">
        <v>284</v>
      </c>
      <c r="C103" s="87" t="s">
        <v>285</v>
      </c>
      <c r="D103" s="21" t="s">
        <v>286</v>
      </c>
      <c r="E103" s="31">
        <v>301</v>
      </c>
      <c r="F103" s="23" t="s">
        <v>287</v>
      </c>
      <c r="G103" s="24">
        <f t="shared" si="116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7"/>
        <v>0.98234291083882441</v>
      </c>
      <c r="AB103" s="24">
        <f t="shared" si="118"/>
        <v>482387240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+'[2]DICIEMBRE 2016'!$Y$1259</f>
        <v>135747651</v>
      </c>
      <c r="AR103" s="24">
        <f>+'[4]DICIEMBRE 2016'!$Z$1264</f>
        <v>339690785</v>
      </c>
      <c r="AS103" s="24"/>
      <c r="AT103" s="24"/>
      <c r="AU103" s="24"/>
      <c r="AV103" s="24">
        <f>+'[5]NOVIEMBRE 2016'!$AG$1189</f>
        <v>6948804</v>
      </c>
      <c r="AW103" s="25">
        <f t="shared" si="119"/>
        <v>1.7657089161175588E-2</v>
      </c>
      <c r="AX103" s="24">
        <f t="shared" si="120"/>
        <v>8670653</v>
      </c>
      <c r="AY103" s="24">
        <f t="shared" si="121"/>
        <v>0</v>
      </c>
      <c r="AZ103" s="24">
        <f t="shared" si="121"/>
        <v>0</v>
      </c>
      <c r="BA103" s="24">
        <f t="shared" si="121"/>
        <v>0</v>
      </c>
      <c r="BB103" s="24">
        <f t="shared" ref="BB103:BM109" si="134">+K103-AG103</f>
        <v>0</v>
      </c>
      <c r="BC103" s="24">
        <f t="shared" si="134"/>
        <v>0</v>
      </c>
      <c r="BD103" s="24">
        <f t="shared" si="134"/>
        <v>0</v>
      </c>
      <c r="BE103" s="24">
        <f t="shared" si="134"/>
        <v>0</v>
      </c>
      <c r="BF103" s="24">
        <f t="shared" si="134"/>
        <v>0</v>
      </c>
      <c r="BG103" s="24">
        <f t="shared" si="134"/>
        <v>0</v>
      </c>
      <c r="BH103" s="24">
        <f t="shared" si="134"/>
        <v>0</v>
      </c>
      <c r="BI103" s="24">
        <f t="shared" si="134"/>
        <v>0</v>
      </c>
      <c r="BJ103" s="24">
        <f t="shared" si="134"/>
        <v>0</v>
      </c>
      <c r="BK103" s="24">
        <f t="shared" si="134"/>
        <v>0</v>
      </c>
      <c r="BL103" s="24">
        <f t="shared" si="134"/>
        <v>6310242</v>
      </c>
      <c r="BM103" s="24">
        <f t="shared" si="134"/>
        <v>2309215</v>
      </c>
      <c r="BN103" s="24"/>
      <c r="BO103" s="24"/>
      <c r="BP103" s="24">
        <f t="shared" si="123"/>
        <v>0</v>
      </c>
      <c r="BQ103" s="24">
        <f t="shared" ref="BQ103:BQ109" si="135">+Z103-AV103</f>
        <v>51196</v>
      </c>
      <c r="BR103" s="25">
        <f t="shared" si="125"/>
        <v>0.98234291083882441</v>
      </c>
      <c r="BS103" s="24">
        <f t="shared" si="126"/>
        <v>482387240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+'[2]DICIEMBRE 2016'!$Y$1259</f>
        <v>135747651</v>
      </c>
      <c r="CI103" s="24">
        <f>+'[4]DICIEMBRE 2016'!$Z$1264</f>
        <v>339690785</v>
      </c>
      <c r="CJ103" s="24"/>
      <c r="CK103" s="24"/>
      <c r="CL103" s="24"/>
      <c r="CM103" s="24">
        <f>+'[5]NOVIEMBRE 2016'!$H$1262+'[5]NOVIEMBRE 2016'!$H$1263+'[5]NOVIEMBRE 2016'!$H$1264+'[5]NOVIEMBRE 2016'!$H$1267+'[5]NOVIEMBRE 2016'!$H$1268+'[5]NOVIEMBRE 2016'!$H$1269+'[5]NOVIEMBRE 2016'!$H$1307</f>
        <v>6948804</v>
      </c>
      <c r="CN103" s="25">
        <f t="shared" si="127"/>
        <v>1.7657089161175588E-2</v>
      </c>
      <c r="CO103" s="24">
        <f t="shared" si="128"/>
        <v>8670653</v>
      </c>
      <c r="CP103" s="24">
        <f t="shared" si="129"/>
        <v>0</v>
      </c>
      <c r="CQ103" s="24">
        <f t="shared" si="129"/>
        <v>0</v>
      </c>
      <c r="CR103" s="24">
        <f t="shared" si="129"/>
        <v>0</v>
      </c>
      <c r="CS103" s="24">
        <f t="shared" si="129"/>
        <v>0</v>
      </c>
      <c r="CT103" s="24">
        <f t="shared" si="129"/>
        <v>0</v>
      </c>
      <c r="CU103" s="24">
        <f t="shared" si="129"/>
        <v>0</v>
      </c>
      <c r="CV103" s="24">
        <f t="shared" ref="CV103:CW109" si="136">+N103-CA103</f>
        <v>0</v>
      </c>
      <c r="CW103" s="24">
        <f t="shared" si="136"/>
        <v>0</v>
      </c>
      <c r="CX103" s="24">
        <f t="shared" si="129"/>
        <v>0</v>
      </c>
      <c r="CY103" s="24">
        <f t="shared" si="131"/>
        <v>0</v>
      </c>
      <c r="CZ103" s="24">
        <f t="shared" si="131"/>
        <v>0</v>
      </c>
      <c r="DA103" s="24">
        <f t="shared" si="131"/>
        <v>0</v>
      </c>
      <c r="DB103" s="24">
        <f t="shared" ref="DB103:DD109" si="137">+T103-CG103</f>
        <v>0</v>
      </c>
      <c r="DC103" s="24">
        <f t="shared" si="137"/>
        <v>6310242</v>
      </c>
      <c r="DD103" s="24">
        <f t="shared" si="137"/>
        <v>2309215</v>
      </c>
      <c r="DE103" s="24"/>
      <c r="DF103" s="24">
        <f t="shared" ref="DF103:DH109" si="138">+X103-CK103</f>
        <v>0</v>
      </c>
      <c r="DG103" s="24">
        <f t="shared" si="138"/>
        <v>0</v>
      </c>
      <c r="DH103" s="24">
        <f t="shared" si="138"/>
        <v>51196</v>
      </c>
      <c r="DJ103" s="29">
        <f t="shared" si="94"/>
        <v>491057893</v>
      </c>
      <c r="DK103" s="29">
        <f t="shared" si="96"/>
        <v>491057893</v>
      </c>
      <c r="DL103" s="29">
        <f t="shared" si="97"/>
        <v>491057893</v>
      </c>
    </row>
    <row r="104" spans="1:116" ht="54.75" customHeight="1" x14ac:dyDescent="0.25">
      <c r="A104" s="256"/>
      <c r="B104" s="88" t="s">
        <v>288</v>
      </c>
      <c r="C104" s="69" t="s">
        <v>289</v>
      </c>
      <c r="D104" s="21" t="s">
        <v>290</v>
      </c>
      <c r="E104" s="22">
        <v>301</v>
      </c>
      <c r="F104" s="23" t="s">
        <v>291</v>
      </c>
      <c r="G104" s="24">
        <f t="shared" si="116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7"/>
        <v>0.96540715769852947</v>
      </c>
      <c r="AB104" s="24">
        <f t="shared" si="118"/>
        <v>317740099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+'[4]DICIEMBRE 2016'!$Z$1382</f>
        <v>304709714</v>
      </c>
      <c r="AS104" s="24"/>
      <c r="AT104" s="24"/>
      <c r="AU104" s="24"/>
      <c r="AV104" s="24">
        <f>+'[2]DICIEMBRE 2016'!$AG$1393</f>
        <v>13030385</v>
      </c>
      <c r="AW104" s="25">
        <f t="shared" si="119"/>
        <v>3.4592842301470528E-2</v>
      </c>
      <c r="AX104" s="24">
        <f t="shared" si="120"/>
        <v>11385386</v>
      </c>
      <c r="AY104" s="24">
        <f t="shared" si="121"/>
        <v>0</v>
      </c>
      <c r="AZ104" s="24">
        <f t="shared" si="121"/>
        <v>0</v>
      </c>
      <c r="BA104" s="24">
        <f t="shared" si="121"/>
        <v>0</v>
      </c>
      <c r="BB104" s="24">
        <f t="shared" si="134"/>
        <v>0</v>
      </c>
      <c r="BC104" s="24">
        <f t="shared" si="134"/>
        <v>0</v>
      </c>
      <c r="BD104" s="24">
        <f t="shared" si="134"/>
        <v>0</v>
      </c>
      <c r="BE104" s="24">
        <f t="shared" si="134"/>
        <v>0</v>
      </c>
      <c r="BF104" s="24">
        <f t="shared" si="134"/>
        <v>0</v>
      </c>
      <c r="BG104" s="24">
        <f t="shared" si="134"/>
        <v>0</v>
      </c>
      <c r="BH104" s="24">
        <f t="shared" si="134"/>
        <v>0</v>
      </c>
      <c r="BI104" s="24">
        <f t="shared" si="134"/>
        <v>0</v>
      </c>
      <c r="BJ104" s="24">
        <f t="shared" si="134"/>
        <v>0</v>
      </c>
      <c r="BK104" s="24">
        <f t="shared" si="134"/>
        <v>0</v>
      </c>
      <c r="BL104" s="24">
        <f t="shared" si="134"/>
        <v>0</v>
      </c>
      <c r="BM104" s="24">
        <f t="shared" si="134"/>
        <v>11290286</v>
      </c>
      <c r="BN104" s="24"/>
      <c r="BO104" s="24"/>
      <c r="BP104" s="24">
        <f t="shared" si="123"/>
        <v>0</v>
      </c>
      <c r="BQ104" s="24">
        <f t="shared" si="135"/>
        <v>95100</v>
      </c>
      <c r="BR104" s="25">
        <f t="shared" si="125"/>
        <v>0.96540715769852947</v>
      </c>
      <c r="BS104" s="24">
        <f t="shared" si="126"/>
        <v>317740099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+'[4]DICIEMBRE 2016'!$Z$1382</f>
        <v>304709714</v>
      </c>
      <c r="CJ104" s="24"/>
      <c r="CK104" s="24"/>
      <c r="CL104" s="24"/>
      <c r="CM104" s="24">
        <f>+'[2]DICIEMBRE 2016'!$AG$1393</f>
        <v>13030385</v>
      </c>
      <c r="CN104" s="25">
        <f t="shared" si="127"/>
        <v>3.4592842301470528E-2</v>
      </c>
      <c r="CO104" s="24">
        <f t="shared" si="128"/>
        <v>11385386</v>
      </c>
      <c r="CP104" s="24">
        <f t="shared" si="129"/>
        <v>0</v>
      </c>
      <c r="CQ104" s="24">
        <f t="shared" si="129"/>
        <v>0</v>
      </c>
      <c r="CR104" s="24">
        <f t="shared" si="129"/>
        <v>0</v>
      </c>
      <c r="CS104" s="24">
        <f t="shared" si="129"/>
        <v>0</v>
      </c>
      <c r="CT104" s="24">
        <f t="shared" si="129"/>
        <v>0</v>
      </c>
      <c r="CU104" s="24">
        <f t="shared" si="129"/>
        <v>0</v>
      </c>
      <c r="CV104" s="24">
        <f t="shared" si="136"/>
        <v>0</v>
      </c>
      <c r="CW104" s="24">
        <f t="shared" si="136"/>
        <v>0</v>
      </c>
      <c r="CX104" s="24">
        <f t="shared" si="129"/>
        <v>0</v>
      </c>
      <c r="CY104" s="24">
        <f t="shared" si="131"/>
        <v>0</v>
      </c>
      <c r="CZ104" s="24">
        <f t="shared" si="131"/>
        <v>0</v>
      </c>
      <c r="DA104" s="24">
        <f t="shared" si="131"/>
        <v>0</v>
      </c>
      <c r="DB104" s="24">
        <f t="shared" si="137"/>
        <v>0</v>
      </c>
      <c r="DC104" s="24">
        <f t="shared" si="137"/>
        <v>0</v>
      </c>
      <c r="DD104" s="24">
        <f t="shared" si="137"/>
        <v>11290286</v>
      </c>
      <c r="DE104" s="24"/>
      <c r="DF104" s="24">
        <f t="shared" si="138"/>
        <v>0</v>
      </c>
      <c r="DG104" s="24">
        <f t="shared" si="138"/>
        <v>0</v>
      </c>
      <c r="DH104" s="24">
        <f t="shared" si="138"/>
        <v>95100</v>
      </c>
      <c r="DJ104" s="29">
        <f t="shared" si="94"/>
        <v>329125485</v>
      </c>
      <c r="DK104" s="29">
        <f t="shared" si="96"/>
        <v>329125485</v>
      </c>
      <c r="DL104" s="29">
        <f t="shared" si="97"/>
        <v>329125485</v>
      </c>
    </row>
    <row r="105" spans="1:116" ht="42" customHeight="1" x14ac:dyDescent="0.25">
      <c r="A105" s="256"/>
      <c r="B105" s="88" t="s">
        <v>292</v>
      </c>
      <c r="C105" s="69" t="s">
        <v>293</v>
      </c>
      <c r="D105" s="21" t="s">
        <v>294</v>
      </c>
      <c r="E105" s="22">
        <v>301</v>
      </c>
      <c r="F105" s="23" t="s">
        <v>295</v>
      </c>
      <c r="G105" s="24">
        <f t="shared" si="116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7"/>
        <v>0.85418043570302449</v>
      </c>
      <c r="AB105" s="24">
        <f t="shared" si="118"/>
        <v>44549837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+'[2]DICIEMBRE 2016'!$Z$1488</f>
        <v>30946804</v>
      </c>
      <c r="AS105" s="24"/>
      <c r="AT105" s="24"/>
      <c r="AU105" s="24"/>
      <c r="AV105" s="24">
        <f>+'[2]DICIEMBRE 2016'!$AG$1488</f>
        <v>13603033</v>
      </c>
      <c r="AW105" s="25">
        <f t="shared" si="119"/>
        <v>0.14581956429697551</v>
      </c>
      <c r="AX105" s="24">
        <f t="shared" si="120"/>
        <v>7605229</v>
      </c>
      <c r="AY105" s="24">
        <f t="shared" si="121"/>
        <v>0</v>
      </c>
      <c r="AZ105" s="24">
        <f t="shared" si="121"/>
        <v>0</v>
      </c>
      <c r="BA105" s="24">
        <f t="shared" si="121"/>
        <v>0</v>
      </c>
      <c r="BB105" s="24">
        <f t="shared" si="134"/>
        <v>0</v>
      </c>
      <c r="BC105" s="24">
        <f t="shared" si="134"/>
        <v>0</v>
      </c>
      <c r="BD105" s="24">
        <f t="shared" si="134"/>
        <v>0</v>
      </c>
      <c r="BE105" s="24">
        <f t="shared" si="134"/>
        <v>0</v>
      </c>
      <c r="BF105" s="24">
        <f t="shared" si="134"/>
        <v>0</v>
      </c>
      <c r="BG105" s="24">
        <f t="shared" si="134"/>
        <v>0</v>
      </c>
      <c r="BH105" s="24">
        <f t="shared" si="134"/>
        <v>0</v>
      </c>
      <c r="BI105" s="24">
        <f t="shared" si="134"/>
        <v>0</v>
      </c>
      <c r="BJ105" s="24">
        <f t="shared" si="134"/>
        <v>0</v>
      </c>
      <c r="BK105" s="24">
        <f t="shared" si="134"/>
        <v>0</v>
      </c>
      <c r="BL105" s="24">
        <f t="shared" si="134"/>
        <v>0</v>
      </c>
      <c r="BM105" s="24">
        <f t="shared" si="134"/>
        <v>5453196</v>
      </c>
      <c r="BN105" s="24"/>
      <c r="BO105" s="24"/>
      <c r="BP105" s="24">
        <f t="shared" si="123"/>
        <v>0</v>
      </c>
      <c r="BQ105" s="24">
        <f t="shared" si="135"/>
        <v>2152033</v>
      </c>
      <c r="BR105" s="25">
        <f t="shared" si="125"/>
        <v>0.85418043570302449</v>
      </c>
      <c r="BS105" s="24">
        <f t="shared" si="126"/>
        <v>44549837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+'[2]DICIEMBRE 2016'!$Z$1488</f>
        <v>30946804</v>
      </c>
      <c r="CJ105" s="24"/>
      <c r="CK105" s="24"/>
      <c r="CL105" s="24"/>
      <c r="CM105" s="24">
        <f>+'[2]DICIEMBRE 2016'!$AG$1488</f>
        <v>13603033</v>
      </c>
      <c r="CN105" s="25">
        <f t="shared" si="127"/>
        <v>0.14581956429697551</v>
      </c>
      <c r="CO105" s="24">
        <f t="shared" si="128"/>
        <v>7605229</v>
      </c>
      <c r="CP105" s="24">
        <f t="shared" si="129"/>
        <v>0</v>
      </c>
      <c r="CQ105" s="24">
        <f t="shared" si="129"/>
        <v>0</v>
      </c>
      <c r="CR105" s="24">
        <f t="shared" si="129"/>
        <v>0</v>
      </c>
      <c r="CS105" s="24">
        <f t="shared" si="129"/>
        <v>0</v>
      </c>
      <c r="CT105" s="24">
        <f t="shared" si="129"/>
        <v>0</v>
      </c>
      <c r="CU105" s="24">
        <f t="shared" si="129"/>
        <v>0</v>
      </c>
      <c r="CV105" s="24">
        <f t="shared" si="136"/>
        <v>0</v>
      </c>
      <c r="CW105" s="24">
        <f t="shared" si="136"/>
        <v>0</v>
      </c>
      <c r="CX105" s="24">
        <f t="shared" si="129"/>
        <v>0</v>
      </c>
      <c r="CY105" s="24">
        <f t="shared" si="131"/>
        <v>0</v>
      </c>
      <c r="CZ105" s="24">
        <f t="shared" si="131"/>
        <v>0</v>
      </c>
      <c r="DA105" s="24">
        <f t="shared" si="131"/>
        <v>0</v>
      </c>
      <c r="DB105" s="24">
        <f t="shared" si="137"/>
        <v>0</v>
      </c>
      <c r="DC105" s="24">
        <f t="shared" si="137"/>
        <v>0</v>
      </c>
      <c r="DD105" s="24">
        <f t="shared" si="137"/>
        <v>5453196</v>
      </c>
      <c r="DE105" s="24"/>
      <c r="DF105" s="24">
        <f t="shared" si="138"/>
        <v>0</v>
      </c>
      <c r="DG105" s="24">
        <f t="shared" si="138"/>
        <v>0</v>
      </c>
      <c r="DH105" s="24">
        <f t="shared" si="138"/>
        <v>2152033</v>
      </c>
      <c r="DJ105" s="29">
        <f t="shared" si="94"/>
        <v>52155066</v>
      </c>
      <c r="DK105" s="29">
        <f t="shared" si="96"/>
        <v>52155066</v>
      </c>
      <c r="DL105" s="29">
        <f t="shared" si="97"/>
        <v>52155066</v>
      </c>
    </row>
    <row r="106" spans="1:116" ht="33" customHeight="1" x14ac:dyDescent="0.25">
      <c r="A106" s="256"/>
      <c r="B106" s="239" t="s">
        <v>296</v>
      </c>
      <c r="C106" s="69" t="s">
        <v>297</v>
      </c>
      <c r="D106" s="21" t="s">
        <v>298</v>
      </c>
      <c r="E106" s="22">
        <v>301</v>
      </c>
      <c r="F106" s="23" t="s">
        <v>267</v>
      </c>
      <c r="G106" s="24">
        <f t="shared" si="116"/>
        <v>1313393743</v>
      </c>
      <c r="H106" s="24">
        <f>200000000-1591857</f>
        <v>198408143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102551657+22000000+23000000-2014400</f>
        <v>145537257</v>
      </c>
      <c r="W106" s="24"/>
      <c r="X106" s="24"/>
      <c r="Y106" s="24"/>
      <c r="Z106" s="24"/>
      <c r="AA106" s="25">
        <f t="shared" si="117"/>
        <v>0.91552995086866351</v>
      </c>
      <c r="AB106" s="24">
        <f t="shared" si="118"/>
        <v>1202451309</v>
      </c>
      <c r="AC106" s="24"/>
      <c r="AD106" s="24">
        <f>+'[4]DICIEMBRE 2016'!$K$1502</f>
        <v>191559085</v>
      </c>
      <c r="AE106" s="24">
        <f>+'[4]DICIEMBRE 2016'!$M$1502</f>
        <v>241589585</v>
      </c>
      <c r="AF106" s="24"/>
      <c r="AG106" s="24">
        <f>+'[4]DICIEMBRE 2016'!$O$1502</f>
        <v>631775394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+'[4]DICIEMBRE 2016'!$Z$1502</f>
        <v>137527245</v>
      </c>
      <c r="AS106" s="24"/>
      <c r="AT106" s="24"/>
      <c r="AU106" s="24"/>
      <c r="AV106" s="24"/>
      <c r="AW106" s="25">
        <f t="shared" si="119"/>
        <v>8.4470049131336489E-2</v>
      </c>
      <c r="AX106" s="24">
        <f t="shared" si="120"/>
        <v>110942434</v>
      </c>
      <c r="AY106" s="24">
        <f t="shared" si="121"/>
        <v>6849058</v>
      </c>
      <c r="AZ106" s="24">
        <f t="shared" si="121"/>
        <v>26578511</v>
      </c>
      <c r="BA106" s="24">
        <f t="shared" si="121"/>
        <v>0</v>
      </c>
      <c r="BB106" s="24">
        <f t="shared" si="134"/>
        <v>69504853</v>
      </c>
      <c r="BC106" s="24">
        <f t="shared" si="134"/>
        <v>0</v>
      </c>
      <c r="BD106" s="24">
        <f t="shared" si="134"/>
        <v>0</v>
      </c>
      <c r="BE106" s="24">
        <f t="shared" si="134"/>
        <v>0</v>
      </c>
      <c r="BF106" s="24">
        <f t="shared" si="134"/>
        <v>0</v>
      </c>
      <c r="BG106" s="24">
        <f t="shared" si="134"/>
        <v>0</v>
      </c>
      <c r="BH106" s="24">
        <f t="shared" si="134"/>
        <v>0</v>
      </c>
      <c r="BI106" s="24">
        <f t="shared" si="134"/>
        <v>0</v>
      </c>
      <c r="BJ106" s="24">
        <f t="shared" si="134"/>
        <v>0</v>
      </c>
      <c r="BK106" s="24">
        <f t="shared" si="134"/>
        <v>0</v>
      </c>
      <c r="BL106" s="24">
        <f t="shared" si="134"/>
        <v>0</v>
      </c>
      <c r="BM106" s="24">
        <f t="shared" si="134"/>
        <v>8010012</v>
      </c>
      <c r="BN106" s="24"/>
      <c r="BO106" s="24"/>
      <c r="BP106" s="24">
        <f t="shared" si="123"/>
        <v>0</v>
      </c>
      <c r="BQ106" s="24">
        <f t="shared" si="135"/>
        <v>0</v>
      </c>
      <c r="BR106" s="25">
        <f t="shared" si="125"/>
        <v>0.91552995086866351</v>
      </c>
      <c r="BS106" s="24">
        <f t="shared" si="126"/>
        <v>1202451309</v>
      </c>
      <c r="BT106" s="24"/>
      <c r="BU106" s="24">
        <f>+'[4]DICIEMBRE 2016'!$K$1502</f>
        <v>191559085</v>
      </c>
      <c r="BV106" s="24">
        <f>+'[4]DICIEMBRE 2016'!$M$1502</f>
        <v>241589585</v>
      </c>
      <c r="BW106" s="24"/>
      <c r="BX106" s="24">
        <f>+'[4]DICIEMBRE 2016'!$O$1502</f>
        <v>631775394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+'[4]DICIEMBRE 2016'!$Z$1502</f>
        <v>137527245</v>
      </c>
      <c r="CJ106" s="24"/>
      <c r="CK106" s="24"/>
      <c r="CL106" s="24"/>
      <c r="CM106" s="24"/>
      <c r="CN106" s="25">
        <f t="shared" si="127"/>
        <v>8.4470049131336489E-2</v>
      </c>
      <c r="CO106" s="24">
        <f t="shared" si="128"/>
        <v>110942434</v>
      </c>
      <c r="CP106" s="24">
        <f t="shared" si="129"/>
        <v>6849058</v>
      </c>
      <c r="CQ106" s="24">
        <f t="shared" si="129"/>
        <v>26578511</v>
      </c>
      <c r="CR106" s="24">
        <f t="shared" si="129"/>
        <v>0</v>
      </c>
      <c r="CS106" s="24">
        <f t="shared" si="129"/>
        <v>69504853</v>
      </c>
      <c r="CT106" s="24">
        <f t="shared" si="129"/>
        <v>0</v>
      </c>
      <c r="CU106" s="24">
        <f t="shared" si="129"/>
        <v>0</v>
      </c>
      <c r="CV106" s="24">
        <f t="shared" si="136"/>
        <v>0</v>
      </c>
      <c r="CW106" s="24">
        <f t="shared" si="136"/>
        <v>0</v>
      </c>
      <c r="CX106" s="24">
        <f t="shared" si="129"/>
        <v>0</v>
      </c>
      <c r="CY106" s="24">
        <f t="shared" si="131"/>
        <v>0</v>
      </c>
      <c r="CZ106" s="24">
        <f t="shared" si="131"/>
        <v>0</v>
      </c>
      <c r="DA106" s="24">
        <f t="shared" si="131"/>
        <v>0</v>
      </c>
      <c r="DB106" s="24">
        <f t="shared" si="137"/>
        <v>0</v>
      </c>
      <c r="DC106" s="24">
        <f t="shared" si="137"/>
        <v>0</v>
      </c>
      <c r="DD106" s="24">
        <f t="shared" si="137"/>
        <v>8010012</v>
      </c>
      <c r="DE106" s="24"/>
      <c r="DF106" s="24">
        <f t="shared" si="138"/>
        <v>0</v>
      </c>
      <c r="DG106" s="24">
        <f t="shared" si="138"/>
        <v>0</v>
      </c>
      <c r="DH106" s="24">
        <f t="shared" si="138"/>
        <v>0</v>
      </c>
      <c r="DJ106" s="29">
        <f t="shared" si="94"/>
        <v>1313393743</v>
      </c>
      <c r="DK106" s="29">
        <f t="shared" si="96"/>
        <v>1313393743</v>
      </c>
      <c r="DL106" s="29">
        <f t="shared" si="97"/>
        <v>1313393743</v>
      </c>
    </row>
    <row r="107" spans="1:116" ht="36" customHeight="1" x14ac:dyDescent="0.25">
      <c r="A107" s="256"/>
      <c r="B107" s="240"/>
      <c r="C107" s="69" t="s">
        <v>299</v>
      </c>
      <c r="D107" s="21" t="s">
        <v>300</v>
      </c>
      <c r="E107" s="22">
        <v>301</v>
      </c>
      <c r="F107" s="23" t="s">
        <v>267</v>
      </c>
      <c r="G107" s="24">
        <f t="shared" si="116"/>
        <v>23760324</v>
      </c>
      <c r="H107" s="24">
        <v>1591857</v>
      </c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f>20000000+2014400+154067</f>
        <v>22168467</v>
      </c>
      <c r="W107" s="24"/>
      <c r="X107" s="24"/>
      <c r="Y107" s="24"/>
      <c r="Z107" s="24"/>
      <c r="AA107" s="25">
        <f t="shared" si="117"/>
        <v>1</v>
      </c>
      <c r="AB107" s="24">
        <f t="shared" si="118"/>
        <v>23760324</v>
      </c>
      <c r="AC107" s="24"/>
      <c r="AD107" s="24">
        <f>+'[2]DICIEMBRE 2016'!$K$1535</f>
        <v>1591857</v>
      </c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+'[2]DICIEMBRE 2016'!$Z$1535</f>
        <v>22168467</v>
      </c>
      <c r="AS107" s="24"/>
      <c r="AT107" s="24"/>
      <c r="AU107" s="24"/>
      <c r="AV107" s="24"/>
      <c r="AW107" s="25">
        <f t="shared" si="119"/>
        <v>0</v>
      </c>
      <c r="AX107" s="24">
        <f t="shared" si="120"/>
        <v>0</v>
      </c>
      <c r="AY107" s="24">
        <f t="shared" si="121"/>
        <v>0</v>
      </c>
      <c r="AZ107" s="24">
        <f t="shared" si="121"/>
        <v>0</v>
      </c>
      <c r="BA107" s="24">
        <f t="shared" si="121"/>
        <v>0</v>
      </c>
      <c r="BB107" s="24">
        <f t="shared" si="134"/>
        <v>0</v>
      </c>
      <c r="BC107" s="24">
        <f t="shared" si="134"/>
        <v>0</v>
      </c>
      <c r="BD107" s="24">
        <f t="shared" si="134"/>
        <v>0</v>
      </c>
      <c r="BE107" s="24">
        <f t="shared" si="134"/>
        <v>0</v>
      </c>
      <c r="BF107" s="24">
        <f t="shared" si="134"/>
        <v>0</v>
      </c>
      <c r="BG107" s="24">
        <f t="shared" si="134"/>
        <v>0</v>
      </c>
      <c r="BH107" s="24">
        <f t="shared" si="134"/>
        <v>0</v>
      </c>
      <c r="BI107" s="24">
        <f t="shared" si="134"/>
        <v>0</v>
      </c>
      <c r="BJ107" s="24">
        <f t="shared" si="134"/>
        <v>0</v>
      </c>
      <c r="BK107" s="24">
        <f t="shared" si="134"/>
        <v>0</v>
      </c>
      <c r="BL107" s="24">
        <f t="shared" si="134"/>
        <v>0</v>
      </c>
      <c r="BM107" s="24">
        <f t="shared" si="134"/>
        <v>0</v>
      </c>
      <c r="BN107" s="24"/>
      <c r="BO107" s="24"/>
      <c r="BP107" s="24">
        <f t="shared" si="123"/>
        <v>0</v>
      </c>
      <c r="BQ107" s="24">
        <f t="shared" si="135"/>
        <v>0</v>
      </c>
      <c r="BR107" s="25">
        <f t="shared" si="125"/>
        <v>1</v>
      </c>
      <c r="BS107" s="24">
        <f t="shared" si="126"/>
        <v>23760324</v>
      </c>
      <c r="BT107" s="24"/>
      <c r="BU107" s="24">
        <f>+'[2]DICIEMBRE 2016'!$K$1535</f>
        <v>1591857</v>
      </c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+'[2]DICIEMBRE 2016'!$H$1536+'[2]DICIEMBRE 2016'!$H$1543</f>
        <v>22168467</v>
      </c>
      <c r="CJ107" s="24"/>
      <c r="CK107" s="24"/>
      <c r="CL107" s="24"/>
      <c r="CM107" s="24"/>
      <c r="CN107" s="25">
        <f t="shared" si="127"/>
        <v>0</v>
      </c>
      <c r="CO107" s="24">
        <f t="shared" si="128"/>
        <v>0</v>
      </c>
      <c r="CP107" s="24">
        <f t="shared" si="129"/>
        <v>0</v>
      </c>
      <c r="CQ107" s="24">
        <f t="shared" si="129"/>
        <v>0</v>
      </c>
      <c r="CR107" s="24">
        <f t="shared" si="129"/>
        <v>0</v>
      </c>
      <c r="CS107" s="24">
        <f t="shared" si="129"/>
        <v>0</v>
      </c>
      <c r="CT107" s="24">
        <f t="shared" si="129"/>
        <v>0</v>
      </c>
      <c r="CU107" s="24">
        <f t="shared" si="129"/>
        <v>0</v>
      </c>
      <c r="CV107" s="24">
        <f t="shared" si="136"/>
        <v>0</v>
      </c>
      <c r="CW107" s="24">
        <f t="shared" si="136"/>
        <v>0</v>
      </c>
      <c r="CX107" s="24">
        <f t="shared" si="129"/>
        <v>0</v>
      </c>
      <c r="CY107" s="24">
        <f t="shared" si="131"/>
        <v>0</v>
      </c>
      <c r="CZ107" s="24">
        <f t="shared" si="131"/>
        <v>0</v>
      </c>
      <c r="DA107" s="24">
        <f t="shared" si="131"/>
        <v>0</v>
      </c>
      <c r="DB107" s="24">
        <f t="shared" si="137"/>
        <v>0</v>
      </c>
      <c r="DC107" s="24">
        <f t="shared" si="137"/>
        <v>0</v>
      </c>
      <c r="DD107" s="24">
        <f t="shared" si="137"/>
        <v>0</v>
      </c>
      <c r="DE107" s="24"/>
      <c r="DF107" s="24">
        <f t="shared" si="138"/>
        <v>0</v>
      </c>
      <c r="DG107" s="24">
        <f t="shared" si="138"/>
        <v>0</v>
      </c>
      <c r="DH107" s="24">
        <f t="shared" si="138"/>
        <v>0</v>
      </c>
      <c r="DJ107" s="29">
        <f t="shared" si="94"/>
        <v>23760324</v>
      </c>
      <c r="DK107" s="29">
        <f t="shared" si="96"/>
        <v>23760324</v>
      </c>
      <c r="DL107" s="29">
        <f t="shared" si="97"/>
        <v>23760324</v>
      </c>
    </row>
    <row r="108" spans="1:116" ht="24.75" customHeight="1" x14ac:dyDescent="0.25">
      <c r="A108" s="256"/>
      <c r="B108" s="241"/>
      <c r="C108" s="69" t="s">
        <v>301</v>
      </c>
      <c r="D108" s="21" t="s">
        <v>302</v>
      </c>
      <c r="E108" s="89">
        <v>301</v>
      </c>
      <c r="F108" s="23" t="s">
        <v>267</v>
      </c>
      <c r="G108" s="24">
        <f t="shared" si="116"/>
        <v>99845933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f>100000000-154067</f>
        <v>99845933</v>
      </c>
      <c r="W108" s="24"/>
      <c r="X108" s="24"/>
      <c r="Y108" s="24"/>
      <c r="Z108" s="24"/>
      <c r="AA108" s="25">
        <f t="shared" si="117"/>
        <v>0.98076554605383881</v>
      </c>
      <c r="AB108" s="24">
        <f t="shared" si="118"/>
        <v>97925451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+'[4]DICIEMBRE 2016'!$Z$1538</f>
        <v>97925451</v>
      </c>
      <c r="AS108" s="24"/>
      <c r="AT108" s="24"/>
      <c r="AU108" s="24"/>
      <c r="AV108" s="24"/>
      <c r="AW108" s="25">
        <f t="shared" si="119"/>
        <v>1.923445394616119E-2</v>
      </c>
      <c r="AX108" s="24">
        <f t="shared" si="120"/>
        <v>1920482</v>
      </c>
      <c r="AY108" s="24">
        <f t="shared" si="121"/>
        <v>0</v>
      </c>
      <c r="AZ108" s="24">
        <f t="shared" si="121"/>
        <v>0</v>
      </c>
      <c r="BA108" s="24">
        <f t="shared" si="121"/>
        <v>0</v>
      </c>
      <c r="BB108" s="24">
        <f t="shared" si="134"/>
        <v>0</v>
      </c>
      <c r="BC108" s="24">
        <f t="shared" si="134"/>
        <v>0</v>
      </c>
      <c r="BD108" s="24">
        <f t="shared" si="134"/>
        <v>0</v>
      </c>
      <c r="BE108" s="24">
        <f t="shared" si="134"/>
        <v>0</v>
      </c>
      <c r="BF108" s="24">
        <f t="shared" si="134"/>
        <v>0</v>
      </c>
      <c r="BG108" s="24">
        <f t="shared" si="134"/>
        <v>0</v>
      </c>
      <c r="BH108" s="24">
        <f t="shared" si="134"/>
        <v>0</v>
      </c>
      <c r="BI108" s="24">
        <f t="shared" si="134"/>
        <v>0</v>
      </c>
      <c r="BJ108" s="24">
        <f t="shared" si="134"/>
        <v>0</v>
      </c>
      <c r="BK108" s="24">
        <f t="shared" si="134"/>
        <v>0</v>
      </c>
      <c r="BL108" s="24">
        <f t="shared" si="134"/>
        <v>0</v>
      </c>
      <c r="BM108" s="24">
        <f t="shared" si="134"/>
        <v>1920482</v>
      </c>
      <c r="BN108" s="24"/>
      <c r="BO108" s="24"/>
      <c r="BP108" s="24">
        <f t="shared" si="123"/>
        <v>0</v>
      </c>
      <c r="BQ108" s="24">
        <f t="shared" si="135"/>
        <v>0</v>
      </c>
      <c r="BR108" s="25">
        <f t="shared" si="125"/>
        <v>0.98076554605383881</v>
      </c>
      <c r="BS108" s="24">
        <f t="shared" si="126"/>
        <v>97925451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+'[4]DICIEMBRE 2016'!$Z$1538</f>
        <v>97925451</v>
      </c>
      <c r="CJ108" s="24"/>
      <c r="CK108" s="24"/>
      <c r="CL108" s="24"/>
      <c r="CM108" s="24"/>
      <c r="CN108" s="25">
        <f t="shared" si="127"/>
        <v>1.923445394616119E-2</v>
      </c>
      <c r="CO108" s="24">
        <f t="shared" si="128"/>
        <v>1920482</v>
      </c>
      <c r="CP108" s="24">
        <f t="shared" si="129"/>
        <v>0</v>
      </c>
      <c r="CQ108" s="24">
        <f t="shared" si="129"/>
        <v>0</v>
      </c>
      <c r="CR108" s="24">
        <f t="shared" si="129"/>
        <v>0</v>
      </c>
      <c r="CS108" s="24">
        <f t="shared" si="129"/>
        <v>0</v>
      </c>
      <c r="CT108" s="24">
        <f t="shared" si="129"/>
        <v>0</v>
      </c>
      <c r="CU108" s="24">
        <f t="shared" si="129"/>
        <v>0</v>
      </c>
      <c r="CV108" s="24">
        <f t="shared" si="136"/>
        <v>0</v>
      </c>
      <c r="CW108" s="24">
        <f t="shared" si="136"/>
        <v>0</v>
      </c>
      <c r="CX108" s="24">
        <f t="shared" si="129"/>
        <v>0</v>
      </c>
      <c r="CY108" s="24">
        <f t="shared" si="131"/>
        <v>0</v>
      </c>
      <c r="CZ108" s="24">
        <f t="shared" si="131"/>
        <v>0</v>
      </c>
      <c r="DA108" s="24">
        <f t="shared" si="131"/>
        <v>0</v>
      </c>
      <c r="DB108" s="24">
        <f t="shared" si="137"/>
        <v>0</v>
      </c>
      <c r="DC108" s="24">
        <f t="shared" si="137"/>
        <v>0</v>
      </c>
      <c r="DD108" s="24">
        <f t="shared" si="137"/>
        <v>1920482</v>
      </c>
      <c r="DE108" s="24"/>
      <c r="DF108" s="24">
        <f t="shared" si="138"/>
        <v>0</v>
      </c>
      <c r="DG108" s="24">
        <f t="shared" si="138"/>
        <v>0</v>
      </c>
      <c r="DH108" s="24">
        <f t="shared" si="138"/>
        <v>0</v>
      </c>
      <c r="DJ108" s="29">
        <f t="shared" si="94"/>
        <v>99845933</v>
      </c>
      <c r="DK108" s="29">
        <f t="shared" si="96"/>
        <v>99845933</v>
      </c>
      <c r="DL108" s="29">
        <f t="shared" si="97"/>
        <v>99845933</v>
      </c>
    </row>
    <row r="109" spans="1:116" ht="23.25" customHeight="1" x14ac:dyDescent="0.25">
      <c r="A109" s="256"/>
      <c r="B109" s="88" t="s">
        <v>303</v>
      </c>
      <c r="C109" s="69" t="s">
        <v>304</v>
      </c>
      <c r="D109" s="21" t="s">
        <v>305</v>
      </c>
      <c r="E109" s="89">
        <v>301</v>
      </c>
      <c r="F109" s="23" t="s">
        <v>267</v>
      </c>
      <c r="G109" s="24">
        <f t="shared" si="116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7"/>
        <v>0.95293510000000003</v>
      </c>
      <c r="AB109" s="24">
        <f t="shared" si="118"/>
        <v>47646755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+'[1]OCTUBRE 2016'!$Y$1327</f>
        <v>47646755</v>
      </c>
      <c r="AR109" s="24"/>
      <c r="AS109" s="24"/>
      <c r="AT109" s="24"/>
      <c r="AU109" s="24"/>
      <c r="AV109" s="24"/>
      <c r="AW109" s="25">
        <f t="shared" si="119"/>
        <v>4.7064899999999965E-2</v>
      </c>
      <c r="AX109" s="24">
        <f t="shared" si="120"/>
        <v>2353245</v>
      </c>
      <c r="AY109" s="24">
        <f t="shared" si="121"/>
        <v>0</v>
      </c>
      <c r="AZ109" s="24">
        <f t="shared" si="121"/>
        <v>0</v>
      </c>
      <c r="BA109" s="24">
        <f t="shared" si="121"/>
        <v>0</v>
      </c>
      <c r="BB109" s="24">
        <f t="shared" si="134"/>
        <v>0</v>
      </c>
      <c r="BC109" s="24">
        <f t="shared" si="134"/>
        <v>0</v>
      </c>
      <c r="BD109" s="24">
        <f t="shared" si="134"/>
        <v>0</v>
      </c>
      <c r="BE109" s="24">
        <f t="shared" si="134"/>
        <v>0</v>
      </c>
      <c r="BF109" s="24">
        <f t="shared" si="134"/>
        <v>0</v>
      </c>
      <c r="BG109" s="24">
        <f t="shared" si="134"/>
        <v>0</v>
      </c>
      <c r="BH109" s="24">
        <f t="shared" si="134"/>
        <v>0</v>
      </c>
      <c r="BI109" s="24">
        <f t="shared" si="134"/>
        <v>0</v>
      </c>
      <c r="BJ109" s="24">
        <f t="shared" si="134"/>
        <v>0</v>
      </c>
      <c r="BK109" s="24">
        <f t="shared" si="134"/>
        <v>0</v>
      </c>
      <c r="BL109" s="24">
        <f t="shared" si="134"/>
        <v>2353245</v>
      </c>
      <c r="BM109" s="24">
        <f t="shared" si="134"/>
        <v>0</v>
      </c>
      <c r="BN109" s="24"/>
      <c r="BO109" s="24"/>
      <c r="BP109" s="24">
        <f t="shared" si="123"/>
        <v>0</v>
      </c>
      <c r="BQ109" s="24">
        <f t="shared" si="135"/>
        <v>0</v>
      </c>
      <c r="BR109" s="25">
        <f t="shared" si="125"/>
        <v>0.95293510000000003</v>
      </c>
      <c r="BS109" s="24">
        <f t="shared" si="126"/>
        <v>47646755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+'[1]OCTUBRE 2016'!$H$1325</f>
        <v>47646755</v>
      </c>
      <c r="CI109" s="24"/>
      <c r="CJ109" s="24"/>
      <c r="CK109" s="24"/>
      <c r="CL109" s="24"/>
      <c r="CM109" s="24"/>
      <c r="CN109" s="25">
        <f t="shared" si="127"/>
        <v>4.7064899999999965E-2</v>
      </c>
      <c r="CO109" s="24">
        <f t="shared" si="128"/>
        <v>2353245</v>
      </c>
      <c r="CP109" s="24">
        <f t="shared" si="129"/>
        <v>0</v>
      </c>
      <c r="CQ109" s="24">
        <f t="shared" si="129"/>
        <v>0</v>
      </c>
      <c r="CR109" s="24">
        <f t="shared" si="129"/>
        <v>0</v>
      </c>
      <c r="CS109" s="24">
        <f t="shared" si="129"/>
        <v>0</v>
      </c>
      <c r="CT109" s="24">
        <f t="shared" si="129"/>
        <v>0</v>
      </c>
      <c r="CU109" s="24">
        <f t="shared" si="129"/>
        <v>0</v>
      </c>
      <c r="CV109" s="24">
        <f t="shared" si="136"/>
        <v>0</v>
      </c>
      <c r="CW109" s="24">
        <f t="shared" si="136"/>
        <v>0</v>
      </c>
      <c r="CX109" s="24">
        <f t="shared" si="129"/>
        <v>0</v>
      </c>
      <c r="CY109" s="24">
        <f t="shared" si="131"/>
        <v>0</v>
      </c>
      <c r="CZ109" s="24">
        <f t="shared" si="131"/>
        <v>0</v>
      </c>
      <c r="DA109" s="24">
        <f t="shared" si="131"/>
        <v>0</v>
      </c>
      <c r="DB109" s="24">
        <f t="shared" si="137"/>
        <v>0</v>
      </c>
      <c r="DC109" s="24">
        <f t="shared" si="137"/>
        <v>2353245</v>
      </c>
      <c r="DD109" s="24">
        <f t="shared" si="137"/>
        <v>0</v>
      </c>
      <c r="DE109" s="24"/>
      <c r="DF109" s="24">
        <f t="shared" si="138"/>
        <v>0</v>
      </c>
      <c r="DG109" s="24">
        <f t="shared" si="138"/>
        <v>0</v>
      </c>
      <c r="DH109" s="24">
        <f t="shared" si="138"/>
        <v>0</v>
      </c>
      <c r="DJ109" s="29">
        <f t="shared" si="94"/>
        <v>50000000</v>
      </c>
      <c r="DK109" s="29">
        <f t="shared" si="96"/>
        <v>50000000</v>
      </c>
      <c r="DL109" s="29">
        <f t="shared" si="97"/>
        <v>50000000</v>
      </c>
    </row>
    <row r="110" spans="1:116" ht="23.25" customHeight="1" x14ac:dyDescent="0.25">
      <c r="A110" s="90"/>
      <c r="B110" s="91"/>
      <c r="C110" s="69" t="s">
        <v>306</v>
      </c>
      <c r="D110" s="92" t="s">
        <v>307</v>
      </c>
      <c r="E110" s="22">
        <v>301</v>
      </c>
      <c r="F110" s="93" t="s">
        <v>308</v>
      </c>
      <c r="G110" s="24">
        <f t="shared" si="116"/>
        <v>30000000</v>
      </c>
      <c r="H110" s="72"/>
      <c r="I110" s="72">
        <v>30000000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7"/>
        <v>1</v>
      </c>
      <c r="AB110" s="24">
        <f t="shared" si="118"/>
        <v>30000000</v>
      </c>
      <c r="AC110" s="72"/>
      <c r="AD110" s="72"/>
      <c r="AE110" s="72">
        <f>+'[1]OCTUBRE 2016'!$M$1347</f>
        <v>30000000</v>
      </c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19"/>
        <v>0</v>
      </c>
      <c r="AX110" s="24">
        <f t="shared" si="120"/>
        <v>0</v>
      </c>
      <c r="AY110" s="72"/>
      <c r="AZ110" s="24">
        <f>I110-AE110</f>
        <v>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25"/>
        <v>1</v>
      </c>
      <c r="BS110" s="24">
        <f t="shared" si="126"/>
        <v>30000000</v>
      </c>
      <c r="BT110" s="72"/>
      <c r="BU110" s="72"/>
      <c r="BV110" s="72">
        <f>+'[2]DICIEMBRE 2016'!$H$1624</f>
        <v>30000000</v>
      </c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7"/>
        <v>0</v>
      </c>
      <c r="CO110" s="24">
        <f t="shared" si="128"/>
        <v>0</v>
      </c>
      <c r="CP110" s="72"/>
      <c r="CQ110" s="24">
        <f>I110-BV110</f>
        <v>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  <c r="DJ110" s="29">
        <f t="shared" si="94"/>
        <v>30000000</v>
      </c>
      <c r="DK110" s="29">
        <f t="shared" si="96"/>
        <v>30000000</v>
      </c>
      <c r="DL110" s="29">
        <f t="shared" si="97"/>
        <v>30000000</v>
      </c>
    </row>
    <row r="111" spans="1:116" ht="19.5" customHeight="1" x14ac:dyDescent="0.25">
      <c r="A111" s="90"/>
      <c r="B111" s="91"/>
      <c r="C111" s="69" t="s">
        <v>309</v>
      </c>
      <c r="D111" s="92" t="s">
        <v>310</v>
      </c>
      <c r="E111" s="22">
        <v>301</v>
      </c>
      <c r="F111" s="93" t="s">
        <v>308</v>
      </c>
      <c r="G111" s="24">
        <f t="shared" si="116"/>
        <v>80000000</v>
      </c>
      <c r="H111" s="72"/>
      <c r="I111" s="72">
        <v>80000000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7"/>
        <v>0.70442499999999997</v>
      </c>
      <c r="AB111" s="24">
        <f t="shared" si="118"/>
        <v>56354000</v>
      </c>
      <c r="AC111" s="72"/>
      <c r="AD111" s="72"/>
      <c r="AE111" s="72">
        <f>+'[2]DICIEMBRE 2016'!$M$1635</f>
        <v>56354000</v>
      </c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19"/>
        <v>0.29557500000000003</v>
      </c>
      <c r="AX111" s="24">
        <f t="shared" si="120"/>
        <v>23646000</v>
      </c>
      <c r="AY111" s="72"/>
      <c r="AZ111" s="24">
        <f>I111-AE111</f>
        <v>23646000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25"/>
        <v>0.70442499999999997</v>
      </c>
      <c r="BS111" s="24">
        <f t="shared" si="126"/>
        <v>56354000</v>
      </c>
      <c r="BT111" s="72"/>
      <c r="BU111" s="72"/>
      <c r="BV111" s="72">
        <f>+'[2]DICIEMBRE 2016'!$H$1633</f>
        <v>56354000</v>
      </c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7"/>
        <v>0.29557500000000003</v>
      </c>
      <c r="CO111" s="24">
        <f t="shared" si="128"/>
        <v>23646000</v>
      </c>
      <c r="CP111" s="72"/>
      <c r="CQ111" s="24">
        <f>I111-BV111</f>
        <v>23646000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  <c r="DJ111" s="29">
        <f t="shared" si="94"/>
        <v>80000000</v>
      </c>
      <c r="DK111" s="29">
        <f t="shared" si="96"/>
        <v>80000000</v>
      </c>
      <c r="DL111" s="29">
        <f t="shared" si="97"/>
        <v>80000000</v>
      </c>
    </row>
    <row r="112" spans="1:116" ht="30" x14ac:dyDescent="0.25">
      <c r="A112" s="90"/>
      <c r="B112" s="91"/>
      <c r="C112" s="69" t="s">
        <v>311</v>
      </c>
      <c r="D112" s="92" t="s">
        <v>312</v>
      </c>
      <c r="E112" s="22">
        <v>301</v>
      </c>
      <c r="F112" s="93" t="s">
        <v>308</v>
      </c>
      <c r="G112" s="24">
        <f t="shared" si="116"/>
        <v>75000000</v>
      </c>
      <c r="H112" s="72"/>
      <c r="I112" s="72">
        <v>75000000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25">
        <f t="shared" si="117"/>
        <v>0.66542773333333338</v>
      </c>
      <c r="AB112" s="24">
        <f t="shared" si="118"/>
        <v>49907080</v>
      </c>
      <c r="AC112" s="72"/>
      <c r="AD112" s="72"/>
      <c r="AE112" s="72">
        <f>+'[4]DICIEMBRE 2016'!$M$1634</f>
        <v>49907080</v>
      </c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25">
        <f t="shared" si="119"/>
        <v>0.33457226666666662</v>
      </c>
      <c r="AX112" s="24">
        <f t="shared" si="120"/>
        <v>25092920</v>
      </c>
      <c r="AY112" s="72"/>
      <c r="AZ112" s="24">
        <f>I112-AE112</f>
        <v>25092920</v>
      </c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25">
        <f t="shared" si="125"/>
        <v>0.66542773333333338</v>
      </c>
      <c r="BS112" s="24">
        <f t="shared" si="126"/>
        <v>49907080</v>
      </c>
      <c r="BT112" s="72"/>
      <c r="BU112" s="72"/>
      <c r="BV112" s="72">
        <f>+'[5]NOVIEMBRE 2016'!$H$1549</f>
        <v>49907080</v>
      </c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25">
        <f t="shared" si="127"/>
        <v>0.33457226666666662</v>
      </c>
      <c r="CO112" s="24">
        <f t="shared" si="128"/>
        <v>25092920</v>
      </c>
      <c r="CP112" s="72"/>
      <c r="CQ112" s="24">
        <f>I112-BV112</f>
        <v>25092920</v>
      </c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24"/>
      <c r="DJ112" s="29">
        <f t="shared" si="94"/>
        <v>75000000</v>
      </c>
      <c r="DK112" s="29">
        <f t="shared" si="96"/>
        <v>75000000</v>
      </c>
      <c r="DL112" s="29">
        <f t="shared" si="97"/>
        <v>75000000</v>
      </c>
    </row>
    <row r="113" spans="1:116" s="43" customFormat="1" ht="21" customHeight="1" thickBot="1" x14ac:dyDescent="0.3">
      <c r="A113" s="73"/>
      <c r="B113" s="257" t="s">
        <v>313</v>
      </c>
      <c r="C113" s="258"/>
      <c r="D113" s="258"/>
      <c r="E113" s="258"/>
      <c r="F113" s="259"/>
      <c r="G113" s="61">
        <f>SUM(G95:G112)</f>
        <v>2969123548</v>
      </c>
      <c r="H113" s="61">
        <f t="shared" ref="H113:Z113" si="139">SUM(H95:H112)</f>
        <v>200000000</v>
      </c>
      <c r="I113" s="61">
        <f t="shared" si="139"/>
        <v>453168096</v>
      </c>
      <c r="J113" s="61">
        <f t="shared" si="139"/>
        <v>0</v>
      </c>
      <c r="K113" s="61">
        <f t="shared" si="139"/>
        <v>701280247</v>
      </c>
      <c r="L113" s="61">
        <f t="shared" si="139"/>
        <v>0</v>
      </c>
      <c r="M113" s="61">
        <f t="shared" si="139"/>
        <v>0</v>
      </c>
      <c r="N113" s="61">
        <f t="shared" si="139"/>
        <v>0</v>
      </c>
      <c r="O113" s="61">
        <f t="shared" si="139"/>
        <v>0</v>
      </c>
      <c r="P113" s="61">
        <f t="shared" si="139"/>
        <v>0</v>
      </c>
      <c r="Q113" s="61">
        <f t="shared" si="139"/>
        <v>0</v>
      </c>
      <c r="R113" s="61">
        <f t="shared" si="139"/>
        <v>0</v>
      </c>
      <c r="S113" s="61">
        <f t="shared" si="139"/>
        <v>0</v>
      </c>
      <c r="T113" s="61">
        <f t="shared" si="139"/>
        <v>0</v>
      </c>
      <c r="U113" s="61">
        <f t="shared" si="139"/>
        <v>245242997</v>
      </c>
      <c r="V113" s="61">
        <f t="shared" si="139"/>
        <v>1262551657</v>
      </c>
      <c r="W113" s="61">
        <f t="shared" si="139"/>
        <v>0</v>
      </c>
      <c r="X113" s="61">
        <f t="shared" si="139"/>
        <v>0</v>
      </c>
      <c r="Y113" s="61">
        <f t="shared" si="139"/>
        <v>0</v>
      </c>
      <c r="Z113" s="61">
        <f t="shared" si="139"/>
        <v>106880551</v>
      </c>
      <c r="AA113" s="39">
        <f t="shared" si="117"/>
        <v>0.92275936238676182</v>
      </c>
      <c r="AB113" s="61">
        <f>SUM(AB95:AB112)</f>
        <v>2739786552</v>
      </c>
      <c r="AC113" s="61"/>
      <c r="AD113" s="61">
        <f t="shared" ref="AD113:AV113" si="140">SUM(AD95:AD112)</f>
        <v>193150942</v>
      </c>
      <c r="AE113" s="61">
        <f t="shared" si="140"/>
        <v>377850665</v>
      </c>
      <c r="AF113" s="61">
        <f t="shared" si="140"/>
        <v>0</v>
      </c>
      <c r="AG113" s="61">
        <f t="shared" si="140"/>
        <v>631775394</v>
      </c>
      <c r="AH113" s="61">
        <f t="shared" si="140"/>
        <v>0</v>
      </c>
      <c r="AI113" s="61">
        <f t="shared" si="140"/>
        <v>0</v>
      </c>
      <c r="AJ113" s="61">
        <f t="shared" si="140"/>
        <v>0</v>
      </c>
      <c r="AK113" s="61">
        <f t="shared" si="140"/>
        <v>0</v>
      </c>
      <c r="AL113" s="61">
        <f t="shared" si="140"/>
        <v>0</v>
      </c>
      <c r="AM113" s="61">
        <f t="shared" si="140"/>
        <v>0</v>
      </c>
      <c r="AN113" s="61">
        <f t="shared" si="140"/>
        <v>0</v>
      </c>
      <c r="AO113" s="61">
        <f t="shared" si="140"/>
        <v>0</v>
      </c>
      <c r="AP113" s="61">
        <f t="shared" si="140"/>
        <v>0</v>
      </c>
      <c r="AQ113" s="61">
        <f t="shared" si="140"/>
        <v>231437005</v>
      </c>
      <c r="AR113" s="61">
        <f t="shared" si="140"/>
        <v>1205496037</v>
      </c>
      <c r="AS113" s="61">
        <f t="shared" si="140"/>
        <v>0</v>
      </c>
      <c r="AT113" s="61">
        <f t="shared" si="140"/>
        <v>0</v>
      </c>
      <c r="AU113" s="61">
        <f t="shared" si="140"/>
        <v>0</v>
      </c>
      <c r="AV113" s="61">
        <f t="shared" si="140"/>
        <v>100076509</v>
      </c>
      <c r="AW113" s="39">
        <f t="shared" si="119"/>
        <v>7.7240637613238183E-2</v>
      </c>
      <c r="AX113" s="61">
        <f>SUM(AX95:AX112)</f>
        <v>229336996</v>
      </c>
      <c r="AY113" s="61">
        <f t="shared" ref="AY113:BQ113" si="141">SUM(AY95:AY112)</f>
        <v>6849058</v>
      </c>
      <c r="AZ113" s="61">
        <f t="shared" si="141"/>
        <v>75317431</v>
      </c>
      <c r="BA113" s="61">
        <f t="shared" si="141"/>
        <v>0</v>
      </c>
      <c r="BB113" s="61">
        <f t="shared" si="141"/>
        <v>69504853</v>
      </c>
      <c r="BC113" s="61">
        <f t="shared" si="141"/>
        <v>0</v>
      </c>
      <c r="BD113" s="61">
        <f t="shared" si="141"/>
        <v>0</v>
      </c>
      <c r="BE113" s="61">
        <f t="shared" si="141"/>
        <v>0</v>
      </c>
      <c r="BF113" s="61">
        <f t="shared" si="141"/>
        <v>0</v>
      </c>
      <c r="BG113" s="61">
        <f t="shared" si="141"/>
        <v>0</v>
      </c>
      <c r="BH113" s="61">
        <f t="shared" si="141"/>
        <v>0</v>
      </c>
      <c r="BI113" s="61">
        <f t="shared" si="141"/>
        <v>0</v>
      </c>
      <c r="BJ113" s="61">
        <f t="shared" si="141"/>
        <v>0</v>
      </c>
      <c r="BK113" s="61">
        <f t="shared" si="141"/>
        <v>0</v>
      </c>
      <c r="BL113" s="61">
        <f t="shared" si="141"/>
        <v>13805992</v>
      </c>
      <c r="BM113" s="61">
        <f t="shared" si="141"/>
        <v>57055620</v>
      </c>
      <c r="BN113" s="61">
        <f t="shared" si="141"/>
        <v>0</v>
      </c>
      <c r="BO113" s="61">
        <f t="shared" si="141"/>
        <v>0</v>
      </c>
      <c r="BP113" s="61">
        <f t="shared" si="141"/>
        <v>0</v>
      </c>
      <c r="BQ113" s="61">
        <f t="shared" si="141"/>
        <v>6804042</v>
      </c>
      <c r="BR113" s="39">
        <f t="shared" si="125"/>
        <v>0.92275936238676182</v>
      </c>
      <c r="BS113" s="61">
        <f>SUM(BS95:BS112)</f>
        <v>2739786552</v>
      </c>
      <c r="BT113" s="61">
        <f>SUM(BT95:BT109)</f>
        <v>0</v>
      </c>
      <c r="BU113" s="61">
        <f t="shared" ref="BU113:CM113" si="142">SUM(BU95:BU112)</f>
        <v>193150942</v>
      </c>
      <c r="BV113" s="61">
        <f t="shared" si="142"/>
        <v>377850665</v>
      </c>
      <c r="BW113" s="61">
        <f t="shared" si="142"/>
        <v>0</v>
      </c>
      <c r="BX113" s="61">
        <f t="shared" si="142"/>
        <v>631775394</v>
      </c>
      <c r="BY113" s="61">
        <f t="shared" si="142"/>
        <v>0</v>
      </c>
      <c r="BZ113" s="61">
        <f t="shared" si="142"/>
        <v>0</v>
      </c>
      <c r="CA113" s="61">
        <f t="shared" si="142"/>
        <v>0</v>
      </c>
      <c r="CB113" s="61">
        <f t="shared" si="142"/>
        <v>0</v>
      </c>
      <c r="CC113" s="61">
        <f t="shared" si="142"/>
        <v>0</v>
      </c>
      <c r="CD113" s="61">
        <f t="shared" si="142"/>
        <v>0</v>
      </c>
      <c r="CE113" s="61">
        <f t="shared" si="142"/>
        <v>0</v>
      </c>
      <c r="CF113" s="61">
        <f t="shared" si="142"/>
        <v>0</v>
      </c>
      <c r="CG113" s="61">
        <f t="shared" si="142"/>
        <v>0</v>
      </c>
      <c r="CH113" s="61">
        <f t="shared" si="142"/>
        <v>231437005</v>
      </c>
      <c r="CI113" s="61">
        <f t="shared" si="142"/>
        <v>1205496037</v>
      </c>
      <c r="CJ113" s="61">
        <f t="shared" si="142"/>
        <v>0</v>
      </c>
      <c r="CK113" s="61">
        <f t="shared" si="142"/>
        <v>0</v>
      </c>
      <c r="CL113" s="61">
        <f t="shared" si="142"/>
        <v>0</v>
      </c>
      <c r="CM113" s="61">
        <f t="shared" si="142"/>
        <v>100076509</v>
      </c>
      <c r="CN113" s="39">
        <f t="shared" si="127"/>
        <v>7.7240637613238183E-2</v>
      </c>
      <c r="CO113" s="61">
        <f>SUM(CO95:CO112)</f>
        <v>229336996</v>
      </c>
      <c r="CP113" s="61">
        <f t="shared" ref="CP113:DH113" si="143">SUM(CP95:CP112)</f>
        <v>6849058</v>
      </c>
      <c r="CQ113" s="61">
        <f t="shared" si="143"/>
        <v>75317431</v>
      </c>
      <c r="CR113" s="61">
        <f t="shared" si="143"/>
        <v>0</v>
      </c>
      <c r="CS113" s="61">
        <f t="shared" si="143"/>
        <v>69504853</v>
      </c>
      <c r="CT113" s="61">
        <f t="shared" si="143"/>
        <v>0</v>
      </c>
      <c r="CU113" s="61">
        <f t="shared" si="143"/>
        <v>0</v>
      </c>
      <c r="CV113" s="61">
        <f t="shared" si="143"/>
        <v>0</v>
      </c>
      <c r="CW113" s="61">
        <f t="shared" si="143"/>
        <v>0</v>
      </c>
      <c r="CX113" s="61">
        <f t="shared" si="143"/>
        <v>0</v>
      </c>
      <c r="CY113" s="61">
        <f t="shared" si="143"/>
        <v>0</v>
      </c>
      <c r="CZ113" s="61">
        <f t="shared" si="143"/>
        <v>0</v>
      </c>
      <c r="DA113" s="61">
        <f t="shared" si="143"/>
        <v>0</v>
      </c>
      <c r="DB113" s="61">
        <f t="shared" si="143"/>
        <v>0</v>
      </c>
      <c r="DC113" s="61">
        <f t="shared" si="143"/>
        <v>13805992</v>
      </c>
      <c r="DD113" s="61">
        <f t="shared" si="143"/>
        <v>57055620</v>
      </c>
      <c r="DE113" s="61">
        <f t="shared" si="143"/>
        <v>0</v>
      </c>
      <c r="DF113" s="61">
        <f t="shared" si="143"/>
        <v>0</v>
      </c>
      <c r="DG113" s="61">
        <f t="shared" si="143"/>
        <v>0</v>
      </c>
      <c r="DH113" s="61">
        <f t="shared" si="143"/>
        <v>6804042</v>
      </c>
      <c r="DJ113" s="29">
        <f t="shared" si="94"/>
        <v>2969123548</v>
      </c>
      <c r="DK113" s="29">
        <f>+AB113+AX113</f>
        <v>2969123548</v>
      </c>
      <c r="DL113" s="29">
        <f t="shared" si="97"/>
        <v>2969123548</v>
      </c>
    </row>
    <row r="114" spans="1:116" ht="51" customHeight="1" thickTop="1" x14ac:dyDescent="0.25">
      <c r="A114" s="249" t="s">
        <v>314</v>
      </c>
      <c r="B114" s="245" t="s">
        <v>315</v>
      </c>
      <c r="C114" s="69" t="s">
        <v>316</v>
      </c>
      <c r="D114" s="21" t="s">
        <v>317</v>
      </c>
      <c r="E114" s="94">
        <v>111</v>
      </c>
      <c r="F114" s="23" t="s">
        <v>318</v>
      </c>
      <c r="G114" s="24">
        <f t="shared" ref="G114:G132" si="144">SUM(H114:Z114)</f>
        <v>2447865779</v>
      </c>
      <c r="H114" s="24"/>
      <c r="I114" s="24">
        <f>2264025000-228708462+125000000</f>
        <v>2160316538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4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28000000+784585184-485000000-9000000-16000000-228000000</f>
        <v>74585184</v>
      </c>
      <c r="AA114" s="25">
        <f t="shared" si="117"/>
        <v>0.87028579314928201</v>
      </c>
      <c r="AB114" s="24">
        <f t="shared" ref="AB114:AB132" si="145">SUM(AC114:AV114)</f>
        <v>2130342811</v>
      </c>
      <c r="AC114" s="24"/>
      <c r="AD114" s="24"/>
      <c r="AE114" s="24">
        <f>+'[4]DICIEMBRE 2016'!$M$18</f>
        <v>2128663595</v>
      </c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+'[2]DICIEMBRE 2016'!$AG$18</f>
        <v>1679216</v>
      </c>
      <c r="AW114" s="25">
        <f t="shared" si="119"/>
        <v>0.12971420685071799</v>
      </c>
      <c r="AX114" s="24">
        <f t="shared" ref="AX114:AX132" si="146">SUM(AY114:BQ114)</f>
        <v>317522968</v>
      </c>
      <c r="AY114" s="24">
        <f t="shared" ref="AY114:BM125" si="147">H114-AD114</f>
        <v>0</v>
      </c>
      <c r="AZ114" s="24">
        <f t="shared" si="147"/>
        <v>31652943</v>
      </c>
      <c r="BA114" s="24">
        <f t="shared" si="147"/>
        <v>20302986</v>
      </c>
      <c r="BB114" s="24">
        <f t="shared" ref="BB114:BM124" si="148">+K114-AG114</f>
        <v>0</v>
      </c>
      <c r="BC114" s="24">
        <f t="shared" si="148"/>
        <v>0</v>
      </c>
      <c r="BD114" s="24">
        <f t="shared" si="148"/>
        <v>54387</v>
      </c>
      <c r="BE114" s="24">
        <f t="shared" si="148"/>
        <v>30665828</v>
      </c>
      <c r="BF114" s="24">
        <f t="shared" si="148"/>
        <v>1940856</v>
      </c>
      <c r="BG114" s="24">
        <f t="shared" si="148"/>
        <v>0</v>
      </c>
      <c r="BH114" s="24">
        <f t="shared" si="148"/>
        <v>160000000</v>
      </c>
      <c r="BI114" s="24">
        <f t="shared" si="148"/>
        <v>0</v>
      </c>
      <c r="BJ114" s="24">
        <f t="shared" si="148"/>
        <v>0</v>
      </c>
      <c r="BK114" s="24">
        <f t="shared" si="148"/>
        <v>0</v>
      </c>
      <c r="BL114" s="24">
        <f t="shared" si="148"/>
        <v>0</v>
      </c>
      <c r="BM114" s="24">
        <f t="shared" si="148"/>
        <v>0</v>
      </c>
      <c r="BN114" s="24"/>
      <c r="BO114" s="24"/>
      <c r="BP114" s="24">
        <f t="shared" ref="BP114:BP125" si="149">Y114-AU114</f>
        <v>0</v>
      </c>
      <c r="BQ114" s="24">
        <f t="shared" ref="BQ114:BQ124" si="150">+Z114-AV114</f>
        <v>72905968</v>
      </c>
      <c r="BR114" s="25">
        <f t="shared" si="125"/>
        <v>0.87028579314928201</v>
      </c>
      <c r="BS114" s="24">
        <f t="shared" ref="BS114:BS132" si="151">SUM(BT114:CM114)</f>
        <v>2130342811</v>
      </c>
      <c r="BT114" s="24"/>
      <c r="BU114" s="24"/>
      <c r="BV114" s="24">
        <f>+'[4]DICIEMBRE 2016'!$M$18</f>
        <v>2128663595</v>
      </c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+'[9]AGOSTO 2016'!$H$29</f>
        <v>1679216</v>
      </c>
      <c r="CN114" s="25">
        <f t="shared" si="127"/>
        <v>0.12971420685071799</v>
      </c>
      <c r="CO114" s="24">
        <f t="shared" ref="CO114:CO132" si="152">SUM(CP114:DH114)</f>
        <v>317522968</v>
      </c>
      <c r="CP114" s="24">
        <f t="shared" ref="CP114:CU125" si="153">H114-BU114</f>
        <v>0</v>
      </c>
      <c r="CQ114" s="24">
        <f t="shared" si="153"/>
        <v>31652943</v>
      </c>
      <c r="CR114" s="24">
        <f t="shared" si="153"/>
        <v>20302986</v>
      </c>
      <c r="CS114" s="24">
        <f t="shared" si="153"/>
        <v>0</v>
      </c>
      <c r="CT114" s="24">
        <f t="shared" si="153"/>
        <v>0</v>
      </c>
      <c r="CU114" s="24">
        <f t="shared" si="153"/>
        <v>54387</v>
      </c>
      <c r="CV114" s="24">
        <f t="shared" ref="CV114:CX124" si="154">+N114-CA114</f>
        <v>30665828</v>
      </c>
      <c r="CW114" s="24">
        <f t="shared" si="154"/>
        <v>1940856</v>
      </c>
      <c r="CX114" s="24">
        <f t="shared" si="154"/>
        <v>0</v>
      </c>
      <c r="CY114" s="24">
        <f t="shared" ref="CY114:DA125" si="155">Q114-CD114</f>
        <v>160000000</v>
      </c>
      <c r="CZ114" s="24">
        <f t="shared" si="155"/>
        <v>0</v>
      </c>
      <c r="DA114" s="24">
        <f t="shared" si="155"/>
        <v>0</v>
      </c>
      <c r="DB114" s="24">
        <f t="shared" ref="DB114:DD124" si="156">+T114-CG114</f>
        <v>0</v>
      </c>
      <c r="DC114" s="24">
        <f t="shared" si="156"/>
        <v>0</v>
      </c>
      <c r="DD114" s="24">
        <f t="shared" si="156"/>
        <v>0</v>
      </c>
      <c r="DE114" s="24"/>
      <c r="DF114" s="24">
        <f t="shared" ref="DF114:DH124" si="157">+X114-CK114</f>
        <v>0</v>
      </c>
      <c r="DG114" s="24">
        <f t="shared" si="157"/>
        <v>0</v>
      </c>
      <c r="DH114" s="24">
        <f t="shared" si="157"/>
        <v>72905968</v>
      </c>
      <c r="DJ114" s="29">
        <f t="shared" si="94"/>
        <v>2447865779</v>
      </c>
      <c r="DK114" s="29">
        <f t="shared" si="96"/>
        <v>2447865779</v>
      </c>
      <c r="DL114" s="29">
        <f t="shared" si="97"/>
        <v>2447865779</v>
      </c>
    </row>
    <row r="115" spans="1:116" s="58" customFormat="1" ht="36" customHeight="1" x14ac:dyDescent="0.25">
      <c r="A115" s="246"/>
      <c r="B115" s="240"/>
      <c r="C115" s="55" t="s">
        <v>319</v>
      </c>
      <c r="D115" s="21" t="s">
        <v>320</v>
      </c>
      <c r="E115" s="89">
        <v>111</v>
      </c>
      <c r="F115" s="23" t="s">
        <v>321</v>
      </c>
      <c r="G115" s="24">
        <f t="shared" si="144"/>
        <v>2244924802</v>
      </c>
      <c r="H115" s="54"/>
      <c r="I115" s="24">
        <f>982978733+1062351800+50000000-125000000</f>
        <v>1970330533</v>
      </c>
      <c r="J115" s="54">
        <v>39062301</v>
      </c>
      <c r="K115" s="54"/>
      <c r="L115" s="54"/>
      <c r="M115" s="54"/>
      <c r="N115" s="54"/>
      <c r="O115" s="54"/>
      <c r="P115" s="54">
        <f>3438802</f>
        <v>3438802</v>
      </c>
      <c r="Q115" s="54">
        <f>50000000</f>
        <v>50000000</v>
      </c>
      <c r="R115" s="54"/>
      <c r="S115" s="54"/>
      <c r="T115" s="54"/>
      <c r="U115" s="54"/>
      <c r="V115" s="54"/>
      <c r="W115" s="54"/>
      <c r="X115" s="54"/>
      <c r="Y115" s="54"/>
      <c r="Z115" s="54">
        <f>12000000+1000000+2897715+16000000+3195451+27000000+120000000</f>
        <v>182093166</v>
      </c>
      <c r="AA115" s="57">
        <f t="shared" si="117"/>
        <v>0.68797791027300526</v>
      </c>
      <c r="AB115" s="24">
        <f t="shared" si="145"/>
        <v>1544458674</v>
      </c>
      <c r="AC115" s="54"/>
      <c r="AD115" s="54"/>
      <c r="AE115" s="54">
        <f>+'[4]DICIEMBRE 2016'!$M$44</f>
        <v>1325950029</v>
      </c>
      <c r="AF115" s="54">
        <f>+'[5]NOVIEMBRE 2016'!$N$43</f>
        <v>38948568</v>
      </c>
      <c r="AG115" s="54"/>
      <c r="AH115" s="54"/>
      <c r="AI115" s="54"/>
      <c r="AJ115" s="54"/>
      <c r="AK115" s="54"/>
      <c r="AL115" s="54">
        <f>+'[5]NOVIEMBRE 2016'!$T$43</f>
        <v>3438802</v>
      </c>
      <c r="AM115" s="24">
        <f>+'[4]DICIEMBRE 2016'!$U$44</f>
        <v>49852012</v>
      </c>
      <c r="AN115" s="54"/>
      <c r="AO115" s="54"/>
      <c r="AP115" s="54"/>
      <c r="AQ115" s="54"/>
      <c r="AR115" s="54"/>
      <c r="AS115" s="54"/>
      <c r="AT115" s="54"/>
      <c r="AU115" s="54"/>
      <c r="AV115" s="54">
        <f>+'[4]DICIEMBRE 2016'!$AG$44</f>
        <v>126269263</v>
      </c>
      <c r="AW115" s="57">
        <f t="shared" si="119"/>
        <v>0.31202208972699474</v>
      </c>
      <c r="AX115" s="24">
        <f t="shared" si="146"/>
        <v>700466128</v>
      </c>
      <c r="AY115" s="54">
        <f t="shared" si="147"/>
        <v>0</v>
      </c>
      <c r="AZ115" s="54">
        <f t="shared" si="147"/>
        <v>644380504</v>
      </c>
      <c r="BA115" s="54">
        <f t="shared" si="147"/>
        <v>113733</v>
      </c>
      <c r="BB115" s="54">
        <f t="shared" si="148"/>
        <v>0</v>
      </c>
      <c r="BC115" s="54">
        <f t="shared" si="148"/>
        <v>0</v>
      </c>
      <c r="BD115" s="24">
        <f t="shared" si="148"/>
        <v>0</v>
      </c>
      <c r="BE115" s="54">
        <f t="shared" si="148"/>
        <v>0</v>
      </c>
      <c r="BF115" s="54">
        <f t="shared" si="148"/>
        <v>0</v>
      </c>
      <c r="BG115" s="54">
        <f t="shared" si="148"/>
        <v>0</v>
      </c>
      <c r="BH115" s="54">
        <f t="shared" si="148"/>
        <v>147988</v>
      </c>
      <c r="BI115" s="54">
        <f t="shared" si="148"/>
        <v>0</v>
      </c>
      <c r="BJ115" s="54">
        <f t="shared" si="148"/>
        <v>0</v>
      </c>
      <c r="BK115" s="54">
        <f t="shared" si="148"/>
        <v>0</v>
      </c>
      <c r="BL115" s="54">
        <f t="shared" si="148"/>
        <v>0</v>
      </c>
      <c r="BM115" s="54">
        <f t="shared" si="148"/>
        <v>0</v>
      </c>
      <c r="BN115" s="54"/>
      <c r="BO115" s="54"/>
      <c r="BP115" s="24">
        <f t="shared" si="149"/>
        <v>0</v>
      </c>
      <c r="BQ115" s="54">
        <f t="shared" si="150"/>
        <v>55823903</v>
      </c>
      <c r="BR115" s="57">
        <f t="shared" si="125"/>
        <v>0.68797791027300526</v>
      </c>
      <c r="BS115" s="24">
        <f t="shared" si="151"/>
        <v>1544458674</v>
      </c>
      <c r="BT115" s="54"/>
      <c r="BU115" s="54"/>
      <c r="BV115" s="54">
        <f>+'[4]DICIEMBRE 2016'!$M$44</f>
        <v>1325950029</v>
      </c>
      <c r="BW115" s="54">
        <f>+'[2]DICIEMBRE 2016'!$H$71+'[2]DICIEMBRE 2016'!$N$84+'[2]DICIEMBRE 2016'!$H$125</f>
        <v>38948568</v>
      </c>
      <c r="BX115" s="54"/>
      <c r="BY115" s="54"/>
      <c r="BZ115" s="54"/>
      <c r="CA115" s="54"/>
      <c r="CB115" s="54"/>
      <c r="CC115" s="54">
        <f>+'[2]DICIEMBRE 2016'!$H$123+'[2]DICIEMBRE 2016'!$H$95</f>
        <v>3438802</v>
      </c>
      <c r="CD115" s="54">
        <f>+'[4]DICIEMBRE 2016'!$U$44</f>
        <v>49852012</v>
      </c>
      <c r="CE115" s="54"/>
      <c r="CF115" s="54"/>
      <c r="CG115" s="54"/>
      <c r="CH115" s="54"/>
      <c r="CI115" s="54"/>
      <c r="CJ115" s="54"/>
      <c r="CK115" s="54"/>
      <c r="CL115" s="54"/>
      <c r="CM115" s="54">
        <f>+'[4]DICIEMBRE 2016'!$AG$44</f>
        <v>126269263</v>
      </c>
      <c r="CN115" s="57">
        <f t="shared" si="127"/>
        <v>0.31202208972699474</v>
      </c>
      <c r="CO115" s="24">
        <f t="shared" si="152"/>
        <v>700466128</v>
      </c>
      <c r="CP115" s="24">
        <f t="shared" si="153"/>
        <v>0</v>
      </c>
      <c r="CQ115" s="54">
        <f t="shared" si="153"/>
        <v>644380504</v>
      </c>
      <c r="CR115" s="54">
        <f t="shared" si="153"/>
        <v>113733</v>
      </c>
      <c r="CS115" s="54">
        <f t="shared" si="153"/>
        <v>0</v>
      </c>
      <c r="CT115" s="54">
        <f t="shared" si="153"/>
        <v>0</v>
      </c>
      <c r="CU115" s="24">
        <f t="shared" si="153"/>
        <v>0</v>
      </c>
      <c r="CV115" s="54">
        <f t="shared" si="154"/>
        <v>0</v>
      </c>
      <c r="CW115" s="54">
        <f t="shared" si="154"/>
        <v>0</v>
      </c>
      <c r="CX115" s="24">
        <f t="shared" si="154"/>
        <v>0</v>
      </c>
      <c r="CY115" s="54">
        <f t="shared" si="155"/>
        <v>147988</v>
      </c>
      <c r="CZ115" s="54">
        <f t="shared" si="155"/>
        <v>0</v>
      </c>
      <c r="DA115" s="54">
        <f t="shared" si="155"/>
        <v>0</v>
      </c>
      <c r="DB115" s="54">
        <f t="shared" si="156"/>
        <v>0</v>
      </c>
      <c r="DC115" s="54">
        <f t="shared" si="156"/>
        <v>0</v>
      </c>
      <c r="DD115" s="54">
        <f t="shared" si="156"/>
        <v>0</v>
      </c>
      <c r="DE115" s="54"/>
      <c r="DF115" s="54">
        <f t="shared" si="157"/>
        <v>0</v>
      </c>
      <c r="DG115" s="24">
        <f t="shared" si="157"/>
        <v>0</v>
      </c>
      <c r="DH115" s="54">
        <f t="shared" si="157"/>
        <v>55823903</v>
      </c>
      <c r="DJ115" s="29">
        <f t="shared" si="94"/>
        <v>2244924802</v>
      </c>
      <c r="DK115" s="29">
        <f t="shared" si="96"/>
        <v>2244924802</v>
      </c>
      <c r="DL115" s="29">
        <f t="shared" si="97"/>
        <v>2244924802</v>
      </c>
    </row>
    <row r="116" spans="1:116" ht="21" customHeight="1" x14ac:dyDescent="0.25">
      <c r="A116" s="246"/>
      <c r="B116" s="241"/>
      <c r="C116" s="69" t="s">
        <v>322</v>
      </c>
      <c r="D116" s="21" t="s">
        <v>323</v>
      </c>
      <c r="E116" s="94">
        <v>111</v>
      </c>
      <c r="F116" s="23" t="s">
        <v>324</v>
      </c>
      <c r="G116" s="24">
        <f t="shared" si="144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4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7"/>
        <v>0.95448433397443</v>
      </c>
      <c r="AB116" s="24">
        <f t="shared" si="145"/>
        <v>145222032</v>
      </c>
      <c r="AC116" s="24"/>
      <c r="AD116" s="24"/>
      <c r="AE116" s="24"/>
      <c r="AF116" s="24">
        <f>+'[5]NOVIEMBRE 2016'!$N$127</f>
        <v>110222032</v>
      </c>
      <c r="AG116" s="24"/>
      <c r="AH116" s="24"/>
      <c r="AI116" s="24"/>
      <c r="AJ116" s="24"/>
      <c r="AK116" s="24"/>
      <c r="AL116" s="24"/>
      <c r="AM116" s="24">
        <f>+'[1]OCTUBRE 2016'!$U$104</f>
        <v>35000000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19"/>
        <v>4.5515666025570001E-2</v>
      </c>
      <c r="AX116" s="24">
        <f t="shared" si="146"/>
        <v>6925077</v>
      </c>
      <c r="AY116" s="24">
        <f t="shared" si="147"/>
        <v>0</v>
      </c>
      <c r="AZ116" s="24">
        <f t="shared" si="147"/>
        <v>0</v>
      </c>
      <c r="BA116" s="24">
        <f t="shared" si="147"/>
        <v>1416008</v>
      </c>
      <c r="BB116" s="24">
        <f t="shared" si="148"/>
        <v>0</v>
      </c>
      <c r="BC116" s="24">
        <f t="shared" si="148"/>
        <v>0</v>
      </c>
      <c r="BD116" s="24">
        <f t="shared" si="148"/>
        <v>0</v>
      </c>
      <c r="BE116" s="24">
        <f t="shared" si="148"/>
        <v>0</v>
      </c>
      <c r="BF116" s="24">
        <f t="shared" si="148"/>
        <v>0</v>
      </c>
      <c r="BG116" s="24">
        <f t="shared" si="148"/>
        <v>0</v>
      </c>
      <c r="BH116" s="24">
        <f t="shared" si="148"/>
        <v>5509069</v>
      </c>
      <c r="BI116" s="24">
        <f t="shared" si="148"/>
        <v>0</v>
      </c>
      <c r="BJ116" s="24">
        <f t="shared" si="148"/>
        <v>0</v>
      </c>
      <c r="BK116" s="24">
        <f t="shared" si="148"/>
        <v>0</v>
      </c>
      <c r="BL116" s="24">
        <f t="shared" si="148"/>
        <v>0</v>
      </c>
      <c r="BM116" s="24">
        <f t="shared" si="148"/>
        <v>0</v>
      </c>
      <c r="BN116" s="24"/>
      <c r="BO116" s="24"/>
      <c r="BP116" s="24">
        <f t="shared" si="149"/>
        <v>0</v>
      </c>
      <c r="BQ116" s="24">
        <f t="shared" si="150"/>
        <v>0</v>
      </c>
      <c r="BR116" s="25">
        <f t="shared" si="125"/>
        <v>0.95448433397443</v>
      </c>
      <c r="BS116" s="24">
        <f t="shared" si="151"/>
        <v>145222032</v>
      </c>
      <c r="BT116" s="24"/>
      <c r="BU116" s="24"/>
      <c r="BV116" s="24"/>
      <c r="BW116" s="24">
        <f>'[1]OCTUBRE 2016'!$H$105+'[1]OCTUBRE 2016'!$H$109+'[1]OCTUBRE 2016'!$H$111</f>
        <v>110222032</v>
      </c>
      <c r="BX116" s="24"/>
      <c r="BY116" s="24"/>
      <c r="BZ116" s="24"/>
      <c r="CA116" s="24"/>
      <c r="CB116" s="24"/>
      <c r="CC116" s="24"/>
      <c r="CD116" s="24">
        <f>'[1]OCTUBRE 2016'!$U$107+'[1]OCTUBRE 2016'!$U$113</f>
        <v>35000000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7"/>
        <v>4.5515666025570001E-2</v>
      </c>
      <c r="CO116" s="24">
        <f t="shared" si="152"/>
        <v>6925077</v>
      </c>
      <c r="CP116" s="24">
        <f t="shared" si="153"/>
        <v>0</v>
      </c>
      <c r="CQ116" s="24">
        <f t="shared" si="153"/>
        <v>0</v>
      </c>
      <c r="CR116" s="24">
        <f t="shared" si="153"/>
        <v>1416008</v>
      </c>
      <c r="CS116" s="24">
        <f t="shared" si="153"/>
        <v>0</v>
      </c>
      <c r="CT116" s="24">
        <f t="shared" si="153"/>
        <v>0</v>
      </c>
      <c r="CU116" s="24">
        <f t="shared" si="153"/>
        <v>0</v>
      </c>
      <c r="CV116" s="24">
        <f t="shared" si="154"/>
        <v>0</v>
      </c>
      <c r="CW116" s="24">
        <f t="shared" si="154"/>
        <v>0</v>
      </c>
      <c r="CX116" s="24">
        <f t="shared" si="154"/>
        <v>0</v>
      </c>
      <c r="CY116" s="24">
        <f t="shared" si="155"/>
        <v>5509069</v>
      </c>
      <c r="CZ116" s="24">
        <f t="shared" si="155"/>
        <v>0</v>
      </c>
      <c r="DA116" s="24">
        <f t="shared" si="155"/>
        <v>0</v>
      </c>
      <c r="DB116" s="24">
        <f t="shared" si="156"/>
        <v>0</v>
      </c>
      <c r="DC116" s="24">
        <f t="shared" si="156"/>
        <v>0</v>
      </c>
      <c r="DD116" s="24">
        <f t="shared" si="156"/>
        <v>0</v>
      </c>
      <c r="DE116" s="24"/>
      <c r="DF116" s="24">
        <f t="shared" si="157"/>
        <v>0</v>
      </c>
      <c r="DG116" s="24">
        <f t="shared" si="157"/>
        <v>0</v>
      </c>
      <c r="DH116" s="24">
        <f t="shared" si="157"/>
        <v>0</v>
      </c>
      <c r="DI116" s="43"/>
      <c r="DJ116" s="29">
        <f t="shared" si="94"/>
        <v>152147109</v>
      </c>
      <c r="DK116" s="29">
        <f t="shared" si="96"/>
        <v>152147109</v>
      </c>
      <c r="DL116" s="29">
        <f t="shared" si="97"/>
        <v>152147109</v>
      </c>
    </row>
    <row r="117" spans="1:116" ht="35.25" customHeight="1" x14ac:dyDescent="0.25">
      <c r="A117" s="246"/>
      <c r="B117" s="239" t="s">
        <v>325</v>
      </c>
      <c r="C117" s="69" t="s">
        <v>326</v>
      </c>
      <c r="D117" s="21" t="s">
        <v>327</v>
      </c>
      <c r="E117" s="94">
        <v>211</v>
      </c>
      <c r="F117" s="23" t="s">
        <v>328</v>
      </c>
      <c r="G117" s="24">
        <f t="shared" si="144"/>
        <v>2183563386</v>
      </c>
      <c r="H117" s="24"/>
      <c r="I117" s="24">
        <f>2300000000-500000000+260540160-68986271</f>
        <v>1991553889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>
        <v>112130000</v>
      </c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7"/>
        <v>0.73433779769377394</v>
      </c>
      <c r="AB117" s="24">
        <f t="shared" si="145"/>
        <v>1603473128</v>
      </c>
      <c r="AC117" s="24"/>
      <c r="AD117" s="24"/>
      <c r="AE117" s="24">
        <f>+'[4]DICIEMBRE 2016'!$M$165</f>
        <v>1413185808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>
        <f>+'[2]DICIEMBRE 2016'!$W$161</f>
        <v>110421200</v>
      </c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19"/>
        <v>0.26566220230622606</v>
      </c>
      <c r="AX117" s="24">
        <f t="shared" si="146"/>
        <v>580090258</v>
      </c>
      <c r="AY117" s="24">
        <f t="shared" si="147"/>
        <v>0</v>
      </c>
      <c r="AZ117" s="24">
        <f t="shared" si="147"/>
        <v>578368081</v>
      </c>
      <c r="BA117" s="24">
        <f t="shared" si="147"/>
        <v>0</v>
      </c>
      <c r="BB117" s="24">
        <f t="shared" si="148"/>
        <v>0</v>
      </c>
      <c r="BC117" s="24">
        <f t="shared" si="148"/>
        <v>0</v>
      </c>
      <c r="BD117" s="24">
        <f t="shared" si="148"/>
        <v>0</v>
      </c>
      <c r="BE117" s="24">
        <f t="shared" si="148"/>
        <v>0</v>
      </c>
      <c r="BF117" s="24">
        <f t="shared" si="148"/>
        <v>0</v>
      </c>
      <c r="BG117" s="24">
        <f t="shared" si="148"/>
        <v>0</v>
      </c>
      <c r="BH117" s="24">
        <f t="shared" si="148"/>
        <v>0</v>
      </c>
      <c r="BI117" s="24">
        <f t="shared" si="148"/>
        <v>0</v>
      </c>
      <c r="BJ117" s="24">
        <f t="shared" si="148"/>
        <v>1708800</v>
      </c>
      <c r="BK117" s="24">
        <f t="shared" si="148"/>
        <v>0</v>
      </c>
      <c r="BL117" s="24">
        <f t="shared" si="148"/>
        <v>0</v>
      </c>
      <c r="BM117" s="24">
        <f t="shared" si="148"/>
        <v>0</v>
      </c>
      <c r="BN117" s="24"/>
      <c r="BO117" s="24"/>
      <c r="BP117" s="24">
        <f t="shared" si="149"/>
        <v>0</v>
      </c>
      <c r="BQ117" s="24">
        <f t="shared" si="150"/>
        <v>13377</v>
      </c>
      <c r="BR117" s="25">
        <f t="shared" si="125"/>
        <v>0.73433779769377394</v>
      </c>
      <c r="BS117" s="24">
        <f t="shared" si="151"/>
        <v>1603473128</v>
      </c>
      <c r="BT117" s="24"/>
      <c r="BU117" s="24"/>
      <c r="BV117" s="24">
        <f>+'[4]DICIEMBRE 2016'!$M$165</f>
        <v>1413185808</v>
      </c>
      <c r="BW117" s="24"/>
      <c r="BX117" s="24"/>
      <c r="BY117" s="24"/>
      <c r="BZ117" s="24"/>
      <c r="CA117" s="24"/>
      <c r="CB117" s="24"/>
      <c r="CC117" s="24"/>
      <c r="CD117" s="24">
        <f>+'[2]DICIEMBRE 2016'!$H$164+'[2]DICIEMBRE 2016'!$H$190</f>
        <v>70000000</v>
      </c>
      <c r="CE117" s="24"/>
      <c r="CF117" s="24">
        <f>+'[2]DICIEMBRE 2016'!$H$223+'[2]DICIEMBRE 2016'!$H$226</f>
        <v>110421200</v>
      </c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7"/>
        <v>0.26566220230622606</v>
      </c>
      <c r="CO117" s="24">
        <f t="shared" si="152"/>
        <v>580090258</v>
      </c>
      <c r="CP117" s="24">
        <f t="shared" si="153"/>
        <v>0</v>
      </c>
      <c r="CQ117" s="24">
        <f t="shared" si="153"/>
        <v>578368081</v>
      </c>
      <c r="CR117" s="24">
        <f t="shared" si="153"/>
        <v>0</v>
      </c>
      <c r="CS117" s="24">
        <f t="shared" si="153"/>
        <v>0</v>
      </c>
      <c r="CT117" s="24">
        <f t="shared" si="153"/>
        <v>0</v>
      </c>
      <c r="CU117" s="24">
        <f t="shared" si="153"/>
        <v>0</v>
      </c>
      <c r="CV117" s="24">
        <f t="shared" si="154"/>
        <v>0</v>
      </c>
      <c r="CW117" s="24">
        <f t="shared" si="154"/>
        <v>0</v>
      </c>
      <c r="CX117" s="24">
        <f t="shared" si="154"/>
        <v>0</v>
      </c>
      <c r="CY117" s="24">
        <f t="shared" si="155"/>
        <v>0</v>
      </c>
      <c r="CZ117" s="24">
        <f t="shared" si="155"/>
        <v>0</v>
      </c>
      <c r="DA117" s="24">
        <f t="shared" si="155"/>
        <v>1708800</v>
      </c>
      <c r="DB117" s="24">
        <f t="shared" si="156"/>
        <v>0</v>
      </c>
      <c r="DC117" s="24">
        <f t="shared" si="156"/>
        <v>0</v>
      </c>
      <c r="DD117" s="24">
        <f t="shared" si="156"/>
        <v>0</v>
      </c>
      <c r="DE117" s="24"/>
      <c r="DF117" s="24">
        <f t="shared" si="157"/>
        <v>0</v>
      </c>
      <c r="DG117" s="24">
        <f t="shared" si="157"/>
        <v>0</v>
      </c>
      <c r="DH117" s="24">
        <f t="shared" si="157"/>
        <v>13377</v>
      </c>
      <c r="DJ117" s="29">
        <f t="shared" si="94"/>
        <v>2183563386</v>
      </c>
      <c r="DK117" s="29">
        <f t="shared" si="96"/>
        <v>2183563386</v>
      </c>
      <c r="DL117" s="29">
        <f t="shared" si="97"/>
        <v>2183563386</v>
      </c>
    </row>
    <row r="118" spans="1:116" ht="34.5" customHeight="1" x14ac:dyDescent="0.25">
      <c r="A118" s="246"/>
      <c r="B118" s="240"/>
      <c r="C118" s="69" t="s">
        <v>329</v>
      </c>
      <c r="D118" s="95" t="s">
        <v>330</v>
      </c>
      <c r="E118" s="94">
        <v>211</v>
      </c>
      <c r="F118" s="23" t="s">
        <v>324</v>
      </c>
      <c r="G118" s="24">
        <f t="shared" si="144"/>
        <v>231731405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f>130000000-112130000</f>
        <v>17870000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7"/>
        <v>0.93118469203602339</v>
      </c>
      <c r="AB118" s="24">
        <f t="shared" si="145"/>
        <v>215784737</v>
      </c>
      <c r="AC118" s="24"/>
      <c r="AD118" s="24"/>
      <c r="AE118" s="24">
        <f>+'[5]NOVIEMBRE 2016'!$M$212</f>
        <v>183477457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>
        <f>+'[2]DICIEMBRE 2016'!$W$230</f>
        <v>13338840</v>
      </c>
      <c r="AP118" s="24"/>
      <c r="AQ118" s="24"/>
      <c r="AR118" s="24"/>
      <c r="AS118" s="24"/>
      <c r="AT118" s="24"/>
      <c r="AU118" s="24"/>
      <c r="AV118" s="24">
        <f>+'[5]NOVIEMBRE 2016'!$AG$212</f>
        <v>18968440</v>
      </c>
      <c r="AW118" s="25">
        <f t="shared" si="119"/>
        <v>6.8815307963976613E-2</v>
      </c>
      <c r="AX118" s="24">
        <f t="shared" si="146"/>
        <v>15946668</v>
      </c>
      <c r="AY118" s="24">
        <f t="shared" si="147"/>
        <v>0</v>
      </c>
      <c r="AZ118" s="24">
        <f t="shared" si="147"/>
        <v>951560</v>
      </c>
      <c r="BA118" s="24">
        <f t="shared" si="147"/>
        <v>0</v>
      </c>
      <c r="BB118" s="24">
        <f t="shared" si="148"/>
        <v>0</v>
      </c>
      <c r="BC118" s="24">
        <f t="shared" si="148"/>
        <v>0</v>
      </c>
      <c r="BD118" s="24">
        <f t="shared" si="148"/>
        <v>0</v>
      </c>
      <c r="BE118" s="24">
        <f t="shared" si="148"/>
        <v>0</v>
      </c>
      <c r="BF118" s="24">
        <f t="shared" si="148"/>
        <v>0</v>
      </c>
      <c r="BG118" s="24">
        <f t="shared" si="148"/>
        <v>0</v>
      </c>
      <c r="BH118" s="24">
        <f t="shared" si="148"/>
        <v>10432388</v>
      </c>
      <c r="BI118" s="24">
        <f t="shared" si="148"/>
        <v>0</v>
      </c>
      <c r="BJ118" s="24">
        <f t="shared" si="148"/>
        <v>4531160</v>
      </c>
      <c r="BK118" s="24">
        <f t="shared" si="148"/>
        <v>0</v>
      </c>
      <c r="BL118" s="24">
        <f t="shared" si="148"/>
        <v>0</v>
      </c>
      <c r="BM118" s="24">
        <f t="shared" si="148"/>
        <v>0</v>
      </c>
      <c r="BN118" s="24"/>
      <c r="BO118" s="24"/>
      <c r="BP118" s="24">
        <f t="shared" si="149"/>
        <v>0</v>
      </c>
      <c r="BQ118" s="24">
        <f t="shared" si="150"/>
        <v>31560</v>
      </c>
      <c r="BR118" s="25">
        <f t="shared" si="125"/>
        <v>0.93118469203602339</v>
      </c>
      <c r="BS118" s="24">
        <f t="shared" si="151"/>
        <v>215784737</v>
      </c>
      <c r="BT118" s="24"/>
      <c r="BU118" s="24"/>
      <c r="BV118" s="24">
        <f>+'[10]SEPTIEMBRE 2016'!$H$167+'[10]SEPTIEMBRE 2016'!$H$176+'[10]SEPTIEMBRE 2016'!$H$178+'[10]SEPTIEMBRE 2016'!$H$179+'[10]SEPTIEMBRE 2016'!$H$181+'[10]SEPTIEMBRE 2016'!$H$184+'[10]SEPTIEMBRE 2016'!$H$187+'[10]SEPTIEMBRE 2016'!$H$189+'[10]SEPTIEMBRE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>
        <f>+'[2]DICIEMBRE 2016'!$W$230</f>
        <v>13338840</v>
      </c>
      <c r="CG118" s="24"/>
      <c r="CH118" s="24"/>
      <c r="CI118" s="24"/>
      <c r="CJ118" s="24"/>
      <c r="CK118" s="24"/>
      <c r="CL118" s="24"/>
      <c r="CM118" s="24">
        <f>+'[5]NOVIEMBRE 2016'!$AG$212</f>
        <v>18968440</v>
      </c>
      <c r="CN118" s="25">
        <f t="shared" si="127"/>
        <v>6.8815307963976613E-2</v>
      </c>
      <c r="CO118" s="24">
        <f t="shared" si="152"/>
        <v>15946668</v>
      </c>
      <c r="CP118" s="24">
        <f t="shared" si="153"/>
        <v>0</v>
      </c>
      <c r="CQ118" s="24">
        <f t="shared" si="153"/>
        <v>951560</v>
      </c>
      <c r="CR118" s="24">
        <f t="shared" si="153"/>
        <v>0</v>
      </c>
      <c r="CS118" s="24">
        <f t="shared" si="153"/>
        <v>0</v>
      </c>
      <c r="CT118" s="24">
        <f t="shared" si="153"/>
        <v>0</v>
      </c>
      <c r="CU118" s="24">
        <f t="shared" si="153"/>
        <v>0</v>
      </c>
      <c r="CV118" s="24">
        <f t="shared" si="154"/>
        <v>0</v>
      </c>
      <c r="CW118" s="24">
        <f t="shared" si="154"/>
        <v>0</v>
      </c>
      <c r="CX118" s="24">
        <f t="shared" si="154"/>
        <v>0</v>
      </c>
      <c r="CY118" s="24">
        <f t="shared" si="155"/>
        <v>10432388</v>
      </c>
      <c r="CZ118" s="24">
        <f t="shared" si="155"/>
        <v>0</v>
      </c>
      <c r="DA118" s="24">
        <f t="shared" si="155"/>
        <v>4531160</v>
      </c>
      <c r="DB118" s="24">
        <f t="shared" si="156"/>
        <v>0</v>
      </c>
      <c r="DC118" s="24">
        <f t="shared" si="156"/>
        <v>0</v>
      </c>
      <c r="DD118" s="24">
        <f t="shared" si="156"/>
        <v>0</v>
      </c>
      <c r="DE118" s="24"/>
      <c r="DF118" s="24">
        <f t="shared" si="157"/>
        <v>0</v>
      </c>
      <c r="DG118" s="24">
        <f t="shared" si="157"/>
        <v>0</v>
      </c>
      <c r="DH118" s="24">
        <f t="shared" si="157"/>
        <v>31560</v>
      </c>
      <c r="DJ118" s="29">
        <f t="shared" si="94"/>
        <v>231731405</v>
      </c>
      <c r="DK118" s="29">
        <f t="shared" si="96"/>
        <v>231731405</v>
      </c>
      <c r="DL118" s="29">
        <f t="shared" si="97"/>
        <v>231731405</v>
      </c>
    </row>
    <row r="119" spans="1:116" s="58" customFormat="1" ht="33" customHeight="1" x14ac:dyDescent="0.25">
      <c r="A119" s="246"/>
      <c r="B119" s="240"/>
      <c r="C119" s="55" t="s">
        <v>331</v>
      </c>
      <c r="D119" s="21" t="s">
        <v>332</v>
      </c>
      <c r="E119" s="89">
        <v>211</v>
      </c>
      <c r="F119" s="23" t="s">
        <v>333</v>
      </c>
      <c r="G119" s="24">
        <f t="shared" si="144"/>
        <v>316552303</v>
      </c>
      <c r="H119" s="28"/>
      <c r="I119" s="54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7">
        <f t="shared" si="117"/>
        <v>0.96365088520616449</v>
      </c>
      <c r="AB119" s="24">
        <f t="shared" si="145"/>
        <v>305045907</v>
      </c>
      <c r="AC119" s="54"/>
      <c r="AD119" s="54"/>
      <c r="AE119" s="54">
        <f>+'[4]DICIEMBRE 2016'!$M$277</f>
        <v>292045907</v>
      </c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>
        <f>+'[10]SEPTIEMBRE 2016'!$AG$202</f>
        <v>13000000</v>
      </c>
      <c r="AW119" s="57">
        <f t="shared" si="119"/>
        <v>3.6349114793835513E-2</v>
      </c>
      <c r="AX119" s="24">
        <f t="shared" si="146"/>
        <v>11506396</v>
      </c>
      <c r="AY119" s="54">
        <f t="shared" si="147"/>
        <v>0</v>
      </c>
      <c r="AZ119" s="54">
        <f t="shared" si="147"/>
        <v>5506396</v>
      </c>
      <c r="BA119" s="54">
        <f t="shared" si="147"/>
        <v>0</v>
      </c>
      <c r="BB119" s="54">
        <f t="shared" si="148"/>
        <v>0</v>
      </c>
      <c r="BC119" s="54">
        <f t="shared" si="148"/>
        <v>0</v>
      </c>
      <c r="BD119" s="24">
        <f t="shared" si="148"/>
        <v>0</v>
      </c>
      <c r="BE119" s="54">
        <f t="shared" si="148"/>
        <v>0</v>
      </c>
      <c r="BF119" s="54">
        <f t="shared" si="148"/>
        <v>0</v>
      </c>
      <c r="BG119" s="54">
        <f t="shared" si="148"/>
        <v>0</v>
      </c>
      <c r="BH119" s="54">
        <f t="shared" si="148"/>
        <v>0</v>
      </c>
      <c r="BI119" s="54">
        <f t="shared" si="148"/>
        <v>0</v>
      </c>
      <c r="BJ119" s="54">
        <f t="shared" si="148"/>
        <v>0</v>
      </c>
      <c r="BK119" s="54">
        <f t="shared" si="148"/>
        <v>0</v>
      </c>
      <c r="BL119" s="54">
        <f t="shared" si="148"/>
        <v>0</v>
      </c>
      <c r="BM119" s="54">
        <f t="shared" si="148"/>
        <v>0</v>
      </c>
      <c r="BN119" s="54"/>
      <c r="BO119" s="54"/>
      <c r="BP119" s="24">
        <f t="shared" si="149"/>
        <v>0</v>
      </c>
      <c r="BQ119" s="54">
        <f t="shared" si="150"/>
        <v>6000000</v>
      </c>
      <c r="BR119" s="57">
        <f t="shared" si="125"/>
        <v>0.96365088520616449</v>
      </c>
      <c r="BS119" s="24">
        <f t="shared" si="151"/>
        <v>305045907</v>
      </c>
      <c r="BT119" s="54"/>
      <c r="BU119" s="54"/>
      <c r="BV119" s="54">
        <f>+'[2]DICIEMBRE 2016'!$H$273+'[2]DICIEMBRE 2016'!$H$275+'[2]DICIEMBRE 2016'!$H$277+'[2]DICIEMBRE 2016'!$H$279</f>
        <v>292045907</v>
      </c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>
        <f>+'[10]SEPTIEMBRE 2016'!$H$209</f>
        <v>13000000</v>
      </c>
      <c r="CN119" s="57">
        <f t="shared" si="127"/>
        <v>3.6349114793835513E-2</v>
      </c>
      <c r="CO119" s="24">
        <f t="shared" si="152"/>
        <v>11506396</v>
      </c>
      <c r="CP119" s="24">
        <f t="shared" si="153"/>
        <v>0</v>
      </c>
      <c r="CQ119" s="54">
        <f t="shared" si="153"/>
        <v>5506396</v>
      </c>
      <c r="CR119" s="54">
        <f t="shared" si="153"/>
        <v>0</v>
      </c>
      <c r="CS119" s="54">
        <f t="shared" si="153"/>
        <v>0</v>
      </c>
      <c r="CT119" s="54">
        <f t="shared" si="153"/>
        <v>0</v>
      </c>
      <c r="CU119" s="24">
        <f t="shared" si="153"/>
        <v>0</v>
      </c>
      <c r="CV119" s="54">
        <f t="shared" si="154"/>
        <v>0</v>
      </c>
      <c r="CW119" s="54">
        <f t="shared" si="154"/>
        <v>0</v>
      </c>
      <c r="CX119" s="24">
        <f t="shared" si="154"/>
        <v>0</v>
      </c>
      <c r="CY119" s="54">
        <f t="shared" si="155"/>
        <v>0</v>
      </c>
      <c r="CZ119" s="54">
        <f t="shared" si="155"/>
        <v>0</v>
      </c>
      <c r="DA119" s="54">
        <f t="shared" si="155"/>
        <v>0</v>
      </c>
      <c r="DB119" s="54">
        <f t="shared" si="156"/>
        <v>0</v>
      </c>
      <c r="DC119" s="54">
        <f t="shared" si="156"/>
        <v>0</v>
      </c>
      <c r="DD119" s="54">
        <f t="shared" si="156"/>
        <v>0</v>
      </c>
      <c r="DE119" s="54"/>
      <c r="DF119" s="54">
        <f t="shared" si="157"/>
        <v>0</v>
      </c>
      <c r="DG119" s="54">
        <f t="shared" si="157"/>
        <v>0</v>
      </c>
      <c r="DH119" s="54">
        <f t="shared" si="157"/>
        <v>6000000</v>
      </c>
      <c r="DJ119" s="29">
        <f t="shared" si="94"/>
        <v>316552303</v>
      </c>
      <c r="DK119" s="29">
        <f t="shared" si="96"/>
        <v>316552303</v>
      </c>
      <c r="DL119" s="29">
        <f t="shared" si="97"/>
        <v>316552303</v>
      </c>
    </row>
    <row r="120" spans="1:116" ht="95.25" customHeight="1" x14ac:dyDescent="0.25">
      <c r="A120" s="246"/>
      <c r="B120" s="240"/>
      <c r="C120" s="69" t="s">
        <v>334</v>
      </c>
      <c r="D120" s="21" t="s">
        <v>335</v>
      </c>
      <c r="E120" s="94">
        <v>211</v>
      </c>
      <c r="F120" s="23" t="s">
        <v>336</v>
      </c>
      <c r="G120" s="24">
        <f t="shared" si="144"/>
        <v>487777768</v>
      </c>
      <c r="H120" s="33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105607498+8000000+9000000-4000000+8000000-30000000+9956624+26213646+40000000</f>
        <v>172777768</v>
      </c>
      <c r="AA120" s="25">
        <f t="shared" si="117"/>
        <v>0.66491124909161503</v>
      </c>
      <c r="AB120" s="24">
        <f t="shared" si="145"/>
        <v>324328925</v>
      </c>
      <c r="AC120" s="24"/>
      <c r="AD120" s="24"/>
      <c r="AE120" s="24">
        <f>+'[4]DICIEMBRE 2016'!$M$293</f>
        <v>162699460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+'[4]DICIEMBRE 2016'!$AG$293</f>
        <v>146629465</v>
      </c>
      <c r="AW120" s="25">
        <f t="shared" si="119"/>
        <v>0.33508875090838497</v>
      </c>
      <c r="AX120" s="24">
        <f t="shared" si="146"/>
        <v>163448843</v>
      </c>
      <c r="AY120" s="24">
        <f t="shared" si="147"/>
        <v>0</v>
      </c>
      <c r="AZ120" s="24">
        <f t="shared" si="147"/>
        <v>137300540</v>
      </c>
      <c r="BA120" s="24">
        <f t="shared" si="147"/>
        <v>0</v>
      </c>
      <c r="BB120" s="24">
        <f t="shared" si="148"/>
        <v>0</v>
      </c>
      <c r="BC120" s="24">
        <f t="shared" si="148"/>
        <v>0</v>
      </c>
      <c r="BD120" s="24">
        <f t="shared" si="148"/>
        <v>0</v>
      </c>
      <c r="BE120" s="24">
        <f t="shared" si="148"/>
        <v>0</v>
      </c>
      <c r="BF120" s="24">
        <f t="shared" si="148"/>
        <v>0</v>
      </c>
      <c r="BG120" s="24">
        <f t="shared" si="148"/>
        <v>0</v>
      </c>
      <c r="BH120" s="24">
        <f t="shared" si="148"/>
        <v>0</v>
      </c>
      <c r="BI120" s="24">
        <f t="shared" si="148"/>
        <v>0</v>
      </c>
      <c r="BJ120" s="24">
        <f t="shared" si="148"/>
        <v>0</v>
      </c>
      <c r="BK120" s="24">
        <f t="shared" si="148"/>
        <v>0</v>
      </c>
      <c r="BL120" s="24">
        <f t="shared" si="148"/>
        <v>0</v>
      </c>
      <c r="BM120" s="24">
        <f t="shared" si="148"/>
        <v>0</v>
      </c>
      <c r="BN120" s="24"/>
      <c r="BO120" s="24"/>
      <c r="BP120" s="24">
        <f t="shared" si="149"/>
        <v>0</v>
      </c>
      <c r="BQ120" s="24">
        <f t="shared" si="150"/>
        <v>26148303</v>
      </c>
      <c r="BR120" s="25">
        <f t="shared" si="125"/>
        <v>0.66491124909161503</v>
      </c>
      <c r="BS120" s="24">
        <f t="shared" si="151"/>
        <v>324328925</v>
      </c>
      <c r="BT120" s="24"/>
      <c r="BU120" s="24"/>
      <c r="BV120" s="24">
        <f>+'[2]DICIEMBRE 2016'!$H$291+'[2]DICIEMBRE 2016'!$H$293+'[2]DICIEMBRE 2016'!$H$299+'[2]DICIEMBRE 2016'!$H$301+'[2]DICIEMBRE 2016'!$H$303+'[2]DICIEMBRE 2016'!$H$316</f>
        <v>162699460</v>
      </c>
      <c r="BW120" s="24"/>
      <c r="BX120" s="24"/>
      <c r="BY120" s="24"/>
      <c r="BZ120" s="24"/>
      <c r="CA120" s="24"/>
      <c r="CB120" s="24"/>
      <c r="CC120" s="24"/>
      <c r="CD120" s="24">
        <f>+'[12]MARZO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+'[2]DICIEMBRE 2016'!$H$295+'[2]DICIEMBRE 2016'!$H$297+'[2]DICIEMBRE 2016'!$H$305+'[2]DICIEMBRE 2016'!$H$307+'[2]DICIEMBRE 2016'!$H$309+'[2]DICIEMBRE 2016'!$H$310+'[2]DICIEMBRE 2016'!$H$311+'[2]DICIEMBRE 2016'!$H$312+'[2]DICIEMBRE 2016'!$H$313+'[2]DICIEMBRE 2016'!$H$314+'[2]DICIEMBRE 2016'!$H$318+'[2]DICIEMBRE 2016'!$H$320+'[2]DICIEMBRE 2016'!$H$322+'[2]DICIEMBRE 2016'!$H$324+'[2]DICIEMBRE 2016'!$H$326+'[2]DICIEMBRE 2016'!$H$328+'[2]DICIEMBRE 2016'!$H$331+'[2]DICIEMBRE 2016'!$H$334+'[2]DICIEMBRE 2016'!$H$336+'[2]DICIEMBRE 2016'!$H$338+'[2]DICIEMBRE 2016'!$H$340+'[2]DICIEMBRE 2016'!$H$342</f>
        <v>146629465</v>
      </c>
      <c r="CN120" s="25">
        <f t="shared" si="127"/>
        <v>0.33508875090838497</v>
      </c>
      <c r="CO120" s="24">
        <f t="shared" si="152"/>
        <v>163448843</v>
      </c>
      <c r="CP120" s="24">
        <f t="shared" si="153"/>
        <v>0</v>
      </c>
      <c r="CQ120" s="24">
        <f t="shared" si="153"/>
        <v>137300540</v>
      </c>
      <c r="CR120" s="24">
        <f t="shared" si="153"/>
        <v>0</v>
      </c>
      <c r="CS120" s="24">
        <f t="shared" si="153"/>
        <v>0</v>
      </c>
      <c r="CT120" s="24">
        <f t="shared" si="153"/>
        <v>0</v>
      </c>
      <c r="CU120" s="24">
        <f t="shared" si="153"/>
        <v>0</v>
      </c>
      <c r="CV120" s="24">
        <f t="shared" si="154"/>
        <v>0</v>
      </c>
      <c r="CW120" s="24">
        <f t="shared" si="154"/>
        <v>0</v>
      </c>
      <c r="CX120" s="24">
        <f t="shared" si="154"/>
        <v>0</v>
      </c>
      <c r="CY120" s="24">
        <f t="shared" si="155"/>
        <v>0</v>
      </c>
      <c r="CZ120" s="24">
        <f t="shared" si="155"/>
        <v>0</v>
      </c>
      <c r="DA120" s="24">
        <f t="shared" si="155"/>
        <v>0</v>
      </c>
      <c r="DB120" s="24">
        <f t="shared" si="156"/>
        <v>0</v>
      </c>
      <c r="DC120" s="24">
        <f t="shared" si="156"/>
        <v>0</v>
      </c>
      <c r="DD120" s="24">
        <f t="shared" si="156"/>
        <v>0</v>
      </c>
      <c r="DE120" s="24"/>
      <c r="DF120" s="24">
        <f t="shared" si="157"/>
        <v>0</v>
      </c>
      <c r="DG120" s="24">
        <f t="shared" si="157"/>
        <v>0</v>
      </c>
      <c r="DH120" s="24">
        <f t="shared" si="157"/>
        <v>26148303</v>
      </c>
      <c r="DJ120" s="29">
        <f t="shared" si="94"/>
        <v>487777768</v>
      </c>
      <c r="DK120" s="29">
        <f t="shared" si="96"/>
        <v>487777768</v>
      </c>
      <c r="DL120" s="29">
        <f t="shared" si="97"/>
        <v>487777768</v>
      </c>
    </row>
    <row r="121" spans="1:116" ht="91.5" customHeight="1" x14ac:dyDescent="0.25">
      <c r="A121" s="246"/>
      <c r="B121" s="240"/>
      <c r="C121" s="69" t="s">
        <v>337</v>
      </c>
      <c r="D121" s="21" t="s">
        <v>338</v>
      </c>
      <c r="E121" s="94">
        <v>211</v>
      </c>
      <c r="F121" s="23" t="s">
        <v>336</v>
      </c>
      <c r="G121" s="24">
        <f t="shared" si="144"/>
        <v>215639414</v>
      </c>
      <c r="H121" s="33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7"/>
        <v>0.7896914429567129</v>
      </c>
      <c r="AB121" s="24">
        <f t="shared" si="145"/>
        <v>170288600</v>
      </c>
      <c r="AC121" s="24"/>
      <c r="AD121" s="24"/>
      <c r="AE121" s="24">
        <f>+'[5]NOVIEMBRE 2016'!$M$323</f>
        <v>128440000</v>
      </c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+'[2]DICIEMBRE 2016'!$AG$349</f>
        <v>41848600</v>
      </c>
      <c r="AW121" s="25">
        <f t="shared" si="119"/>
        <v>0.2103085570432871</v>
      </c>
      <c r="AX121" s="24">
        <f t="shared" si="146"/>
        <v>45350814</v>
      </c>
      <c r="AY121" s="24">
        <f t="shared" si="147"/>
        <v>0</v>
      </c>
      <c r="AZ121" s="24">
        <f t="shared" si="147"/>
        <v>6028</v>
      </c>
      <c r="BA121" s="24">
        <f t="shared" si="147"/>
        <v>0</v>
      </c>
      <c r="BB121" s="24">
        <f t="shared" si="148"/>
        <v>0</v>
      </c>
      <c r="BC121" s="24">
        <f t="shared" si="148"/>
        <v>0</v>
      </c>
      <c r="BD121" s="24">
        <f t="shared" si="148"/>
        <v>0</v>
      </c>
      <c r="BE121" s="24">
        <f t="shared" si="148"/>
        <v>0</v>
      </c>
      <c r="BF121" s="24">
        <f t="shared" si="148"/>
        <v>0</v>
      </c>
      <c r="BG121" s="24">
        <f t="shared" si="148"/>
        <v>0</v>
      </c>
      <c r="BH121" s="24">
        <f t="shared" si="148"/>
        <v>0</v>
      </c>
      <c r="BI121" s="24">
        <f t="shared" si="148"/>
        <v>0</v>
      </c>
      <c r="BJ121" s="24">
        <f t="shared" si="148"/>
        <v>0</v>
      </c>
      <c r="BK121" s="24">
        <f t="shared" si="148"/>
        <v>0</v>
      </c>
      <c r="BL121" s="24">
        <f t="shared" si="148"/>
        <v>0</v>
      </c>
      <c r="BM121" s="24">
        <f t="shared" si="148"/>
        <v>0</v>
      </c>
      <c r="BN121" s="24"/>
      <c r="BO121" s="24"/>
      <c r="BP121" s="24">
        <f t="shared" si="149"/>
        <v>0</v>
      </c>
      <c r="BQ121" s="24">
        <f t="shared" si="150"/>
        <v>45344786</v>
      </c>
      <c r="BR121" s="25">
        <f t="shared" si="125"/>
        <v>0.7896914429567129</v>
      </c>
      <c r="BS121" s="24">
        <f t="shared" si="151"/>
        <v>170288600</v>
      </c>
      <c r="BT121" s="24"/>
      <c r="BU121" s="24"/>
      <c r="BV121" s="24">
        <f>+'[2]DICIEMBRE 2016'!$M$349</f>
        <v>128440000</v>
      </c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+'[2]DICIEMBRE 2016'!$H$350+'[2]DICIEMBRE 2016'!$H$352+'[2]DICIEMBRE 2016'!$H$353+'[2]DICIEMBRE 2016'!$H$356+'[2]DICIEMBRE 2016'!$H$360+'[2]DICIEMBRE 2016'!$H$362+'[2]DICIEMBRE 2016'!$H$363+'[2]DICIEMBRE 2016'!$H$365+'[2]DICIEMBRE 2016'!$H$367+'[2]DICIEMBRE 2016'!$H$369</f>
        <v>41848600</v>
      </c>
      <c r="CN121" s="25">
        <f t="shared" si="127"/>
        <v>0.2103085570432871</v>
      </c>
      <c r="CO121" s="24">
        <f t="shared" si="152"/>
        <v>45350814</v>
      </c>
      <c r="CP121" s="24">
        <f t="shared" si="153"/>
        <v>0</v>
      </c>
      <c r="CQ121" s="24">
        <f t="shared" si="153"/>
        <v>6028</v>
      </c>
      <c r="CR121" s="24">
        <f t="shared" si="153"/>
        <v>0</v>
      </c>
      <c r="CS121" s="24">
        <f t="shared" si="153"/>
        <v>0</v>
      </c>
      <c r="CT121" s="24">
        <f t="shared" si="153"/>
        <v>0</v>
      </c>
      <c r="CU121" s="24">
        <f t="shared" si="153"/>
        <v>0</v>
      </c>
      <c r="CV121" s="24">
        <f t="shared" si="154"/>
        <v>0</v>
      </c>
      <c r="CW121" s="24">
        <f t="shared" si="154"/>
        <v>0</v>
      </c>
      <c r="CX121" s="24">
        <f t="shared" si="154"/>
        <v>0</v>
      </c>
      <c r="CY121" s="24">
        <f t="shared" si="155"/>
        <v>0</v>
      </c>
      <c r="CZ121" s="24">
        <f t="shared" si="155"/>
        <v>0</v>
      </c>
      <c r="DA121" s="24">
        <f t="shared" si="155"/>
        <v>0</v>
      </c>
      <c r="DB121" s="24">
        <f t="shared" si="156"/>
        <v>0</v>
      </c>
      <c r="DC121" s="24">
        <f t="shared" si="156"/>
        <v>0</v>
      </c>
      <c r="DD121" s="24">
        <f t="shared" si="156"/>
        <v>0</v>
      </c>
      <c r="DE121" s="24"/>
      <c r="DF121" s="24">
        <f t="shared" si="157"/>
        <v>0</v>
      </c>
      <c r="DG121" s="24">
        <f t="shared" si="157"/>
        <v>0</v>
      </c>
      <c r="DH121" s="24">
        <f t="shared" si="157"/>
        <v>45344786</v>
      </c>
      <c r="DJ121" s="29">
        <f t="shared" si="94"/>
        <v>215639414</v>
      </c>
      <c r="DK121" s="29">
        <f t="shared" si="96"/>
        <v>215639414</v>
      </c>
      <c r="DL121" s="29">
        <f t="shared" si="97"/>
        <v>215639414</v>
      </c>
    </row>
    <row r="122" spans="1:116" ht="44.25" customHeight="1" x14ac:dyDescent="0.25">
      <c r="A122" s="246"/>
      <c r="B122" s="240"/>
      <c r="C122" s="69" t="s">
        <v>339</v>
      </c>
      <c r="D122" s="21" t="s">
        <v>340</v>
      </c>
      <c r="E122" s="94">
        <v>211</v>
      </c>
      <c r="F122" s="23" t="s">
        <v>341</v>
      </c>
      <c r="G122" s="24">
        <f t="shared" si="144"/>
        <v>11000000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7"/>
        <v>0.99131081818181821</v>
      </c>
      <c r="AB122" s="24">
        <f t="shared" si="145"/>
        <v>10904419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+'[4]DICIEMBRE 2016'!$AG$380</f>
        <v>10904419</v>
      </c>
      <c r="AW122" s="25">
        <f t="shared" si="119"/>
        <v>8.6891818181817904E-3</v>
      </c>
      <c r="AX122" s="24">
        <f t="shared" si="146"/>
        <v>95581</v>
      </c>
      <c r="AY122" s="24">
        <f t="shared" si="147"/>
        <v>0</v>
      </c>
      <c r="AZ122" s="24">
        <f t="shared" si="147"/>
        <v>0</v>
      </c>
      <c r="BA122" s="24">
        <f t="shared" si="147"/>
        <v>0</v>
      </c>
      <c r="BB122" s="24">
        <f t="shared" si="148"/>
        <v>0</v>
      </c>
      <c r="BC122" s="24">
        <f t="shared" si="148"/>
        <v>0</v>
      </c>
      <c r="BD122" s="24">
        <f t="shared" si="148"/>
        <v>0</v>
      </c>
      <c r="BE122" s="24">
        <f t="shared" si="148"/>
        <v>0</v>
      </c>
      <c r="BF122" s="24">
        <f t="shared" si="148"/>
        <v>0</v>
      </c>
      <c r="BG122" s="24">
        <f t="shared" si="148"/>
        <v>0</v>
      </c>
      <c r="BH122" s="24">
        <f t="shared" si="148"/>
        <v>0</v>
      </c>
      <c r="BI122" s="24">
        <f t="shared" si="148"/>
        <v>0</v>
      </c>
      <c r="BJ122" s="24">
        <f t="shared" si="148"/>
        <v>0</v>
      </c>
      <c r="BK122" s="24">
        <f t="shared" si="148"/>
        <v>0</v>
      </c>
      <c r="BL122" s="24">
        <f t="shared" si="148"/>
        <v>0</v>
      </c>
      <c r="BM122" s="24">
        <f t="shared" si="148"/>
        <v>0</v>
      </c>
      <c r="BN122" s="24"/>
      <c r="BO122" s="24"/>
      <c r="BP122" s="24">
        <f t="shared" si="149"/>
        <v>0</v>
      </c>
      <c r="BQ122" s="24">
        <f t="shared" si="150"/>
        <v>95581</v>
      </c>
      <c r="BR122" s="25">
        <f t="shared" si="125"/>
        <v>0.99131081818181821</v>
      </c>
      <c r="BS122" s="24">
        <f t="shared" si="151"/>
        <v>10904419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+'[4]DICIEMBRE 2016'!$AG$380</f>
        <v>10904419</v>
      </c>
      <c r="CN122" s="25">
        <f t="shared" si="127"/>
        <v>8.6891818181817904E-3</v>
      </c>
      <c r="CO122" s="24">
        <f t="shared" si="152"/>
        <v>95581</v>
      </c>
      <c r="CP122" s="24">
        <f t="shared" si="153"/>
        <v>0</v>
      </c>
      <c r="CQ122" s="24">
        <f t="shared" si="153"/>
        <v>0</v>
      </c>
      <c r="CR122" s="24">
        <f t="shared" si="153"/>
        <v>0</v>
      </c>
      <c r="CS122" s="24">
        <f t="shared" si="153"/>
        <v>0</v>
      </c>
      <c r="CT122" s="24">
        <f t="shared" si="153"/>
        <v>0</v>
      </c>
      <c r="CU122" s="24">
        <f t="shared" si="153"/>
        <v>0</v>
      </c>
      <c r="CV122" s="24">
        <f t="shared" si="154"/>
        <v>0</v>
      </c>
      <c r="CW122" s="24">
        <f t="shared" si="154"/>
        <v>0</v>
      </c>
      <c r="CX122" s="24">
        <f t="shared" si="154"/>
        <v>0</v>
      </c>
      <c r="CY122" s="24">
        <f t="shared" si="155"/>
        <v>0</v>
      </c>
      <c r="CZ122" s="24">
        <f t="shared" si="155"/>
        <v>0</v>
      </c>
      <c r="DA122" s="24">
        <f t="shared" si="155"/>
        <v>0</v>
      </c>
      <c r="DB122" s="24">
        <f t="shared" si="156"/>
        <v>0</v>
      </c>
      <c r="DC122" s="24">
        <f t="shared" si="156"/>
        <v>0</v>
      </c>
      <c r="DD122" s="24">
        <f t="shared" si="156"/>
        <v>0</v>
      </c>
      <c r="DE122" s="24"/>
      <c r="DF122" s="24">
        <f t="shared" si="157"/>
        <v>0</v>
      </c>
      <c r="DG122" s="24">
        <f t="shared" si="157"/>
        <v>0</v>
      </c>
      <c r="DH122" s="24">
        <f t="shared" si="157"/>
        <v>95581</v>
      </c>
      <c r="DJ122" s="29">
        <f t="shared" si="94"/>
        <v>11000000</v>
      </c>
      <c r="DK122" s="29">
        <f t="shared" si="96"/>
        <v>11000000</v>
      </c>
      <c r="DL122" s="29">
        <f t="shared" si="97"/>
        <v>11000000</v>
      </c>
    </row>
    <row r="123" spans="1:116" ht="21.75" customHeight="1" x14ac:dyDescent="0.25">
      <c r="A123" s="246"/>
      <c r="B123" s="240"/>
      <c r="C123" s="69" t="s">
        <v>342</v>
      </c>
      <c r="D123" s="21" t="s">
        <v>343</v>
      </c>
      <c r="E123" s="94">
        <v>211</v>
      </c>
      <c r="F123" s="23" t="s">
        <v>76</v>
      </c>
      <c r="G123" s="24">
        <f t="shared" si="144"/>
        <v>5846336</v>
      </c>
      <c r="H123" s="33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7"/>
        <v>0.72683899796385287</v>
      </c>
      <c r="AB123" s="24">
        <f t="shared" si="145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+'[10]SEPTIEMBRE 2016'!$G$284</f>
        <v>4249345</v>
      </c>
      <c r="AW123" s="25">
        <f t="shared" si="119"/>
        <v>0.27316100203614713</v>
      </c>
      <c r="AX123" s="24">
        <f t="shared" si="146"/>
        <v>1596991</v>
      </c>
      <c r="AY123" s="24">
        <f t="shared" si="147"/>
        <v>0</v>
      </c>
      <c r="AZ123" s="24">
        <f t="shared" si="147"/>
        <v>0</v>
      </c>
      <c r="BA123" s="24">
        <f t="shared" si="147"/>
        <v>0</v>
      </c>
      <c r="BB123" s="24">
        <f t="shared" si="148"/>
        <v>0</v>
      </c>
      <c r="BC123" s="24">
        <f t="shared" si="148"/>
        <v>0</v>
      </c>
      <c r="BD123" s="24">
        <f t="shared" si="148"/>
        <v>0</v>
      </c>
      <c r="BE123" s="24">
        <f t="shared" si="148"/>
        <v>0</v>
      </c>
      <c r="BF123" s="24">
        <f t="shared" si="148"/>
        <v>0</v>
      </c>
      <c r="BG123" s="24">
        <f t="shared" si="148"/>
        <v>0</v>
      </c>
      <c r="BH123" s="24">
        <f t="shared" si="148"/>
        <v>0</v>
      </c>
      <c r="BI123" s="24">
        <f t="shared" si="148"/>
        <v>0</v>
      </c>
      <c r="BJ123" s="24">
        <f t="shared" si="148"/>
        <v>0</v>
      </c>
      <c r="BK123" s="24">
        <f t="shared" si="148"/>
        <v>0</v>
      </c>
      <c r="BL123" s="24">
        <f t="shared" si="148"/>
        <v>0</v>
      </c>
      <c r="BM123" s="24">
        <f t="shared" si="148"/>
        <v>0</v>
      </c>
      <c r="BN123" s="24"/>
      <c r="BO123" s="24"/>
      <c r="BP123" s="24">
        <f t="shared" si="149"/>
        <v>0</v>
      </c>
      <c r="BQ123" s="24">
        <f t="shared" si="150"/>
        <v>1596991</v>
      </c>
      <c r="BR123" s="25">
        <f t="shared" si="125"/>
        <v>0.72683899796385287</v>
      </c>
      <c r="BS123" s="24">
        <f t="shared" si="151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+'[10]SEPTIEMBRE 2016'!$H$284</f>
        <v>4249345</v>
      </c>
      <c r="CN123" s="25">
        <f t="shared" si="127"/>
        <v>0.27316100203614713</v>
      </c>
      <c r="CO123" s="24">
        <f t="shared" si="152"/>
        <v>1596991</v>
      </c>
      <c r="CP123" s="24">
        <f t="shared" si="153"/>
        <v>0</v>
      </c>
      <c r="CQ123" s="24">
        <f t="shared" si="153"/>
        <v>0</v>
      </c>
      <c r="CR123" s="24">
        <f t="shared" si="153"/>
        <v>0</v>
      </c>
      <c r="CS123" s="24">
        <f t="shared" si="153"/>
        <v>0</v>
      </c>
      <c r="CT123" s="24">
        <f t="shared" si="153"/>
        <v>0</v>
      </c>
      <c r="CU123" s="24">
        <f t="shared" si="153"/>
        <v>0</v>
      </c>
      <c r="CV123" s="24">
        <f t="shared" si="154"/>
        <v>0</v>
      </c>
      <c r="CW123" s="24">
        <f t="shared" si="154"/>
        <v>0</v>
      </c>
      <c r="CX123" s="24">
        <f t="shared" si="154"/>
        <v>0</v>
      </c>
      <c r="CY123" s="24">
        <f t="shared" si="155"/>
        <v>0</v>
      </c>
      <c r="CZ123" s="24">
        <f t="shared" si="155"/>
        <v>0</v>
      </c>
      <c r="DA123" s="24">
        <f t="shared" si="155"/>
        <v>0</v>
      </c>
      <c r="DB123" s="24">
        <f t="shared" si="156"/>
        <v>0</v>
      </c>
      <c r="DC123" s="24">
        <f t="shared" si="156"/>
        <v>0</v>
      </c>
      <c r="DD123" s="24">
        <f t="shared" si="156"/>
        <v>0</v>
      </c>
      <c r="DE123" s="24"/>
      <c r="DF123" s="24">
        <f t="shared" si="157"/>
        <v>0</v>
      </c>
      <c r="DG123" s="24">
        <f t="shared" si="157"/>
        <v>0</v>
      </c>
      <c r="DH123" s="24">
        <f t="shared" si="157"/>
        <v>1596991</v>
      </c>
      <c r="DJ123" s="29">
        <f t="shared" si="94"/>
        <v>5846336</v>
      </c>
      <c r="DK123" s="29">
        <f t="shared" si="96"/>
        <v>5846336</v>
      </c>
      <c r="DL123" s="29">
        <f t="shared" si="97"/>
        <v>5846336</v>
      </c>
    </row>
    <row r="124" spans="1:116" s="58" customFormat="1" ht="20.25" customHeight="1" x14ac:dyDescent="0.25">
      <c r="A124" s="246"/>
      <c r="B124" s="240"/>
      <c r="C124" s="55" t="s">
        <v>344</v>
      </c>
      <c r="D124" s="21" t="s">
        <v>345</v>
      </c>
      <c r="E124" s="89">
        <v>211</v>
      </c>
      <c r="F124" s="23" t="s">
        <v>324</v>
      </c>
      <c r="G124" s="24">
        <f t="shared" si="144"/>
        <v>325200000</v>
      </c>
      <c r="H124" s="28"/>
      <c r="I124" s="54">
        <f>296464791+28735209-68986271+68986271</f>
        <v>325200000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7">
        <f t="shared" si="117"/>
        <v>0.99969555043050429</v>
      </c>
      <c r="AB124" s="24">
        <f t="shared" si="145"/>
        <v>325100993</v>
      </c>
      <c r="AC124" s="54"/>
      <c r="AD124" s="54"/>
      <c r="AE124" s="54">
        <f>+'[2]DICIEMBRE 2016'!$M$399</f>
        <v>325100993</v>
      </c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7">
        <f t="shared" si="119"/>
        <v>3.0444956949571278E-4</v>
      </c>
      <c r="AX124" s="24">
        <f t="shared" si="146"/>
        <v>99007</v>
      </c>
      <c r="AY124" s="54">
        <f t="shared" si="147"/>
        <v>0</v>
      </c>
      <c r="AZ124" s="54">
        <f t="shared" si="147"/>
        <v>99007</v>
      </c>
      <c r="BA124" s="54">
        <f t="shared" si="147"/>
        <v>0</v>
      </c>
      <c r="BB124" s="54">
        <f t="shared" si="148"/>
        <v>0</v>
      </c>
      <c r="BC124" s="54">
        <f t="shared" si="148"/>
        <v>0</v>
      </c>
      <c r="BD124" s="24">
        <f t="shared" si="148"/>
        <v>0</v>
      </c>
      <c r="BE124" s="54">
        <f t="shared" si="148"/>
        <v>0</v>
      </c>
      <c r="BF124" s="54">
        <f t="shared" si="148"/>
        <v>0</v>
      </c>
      <c r="BG124" s="54">
        <f t="shared" si="148"/>
        <v>0</v>
      </c>
      <c r="BH124" s="54">
        <f t="shared" si="148"/>
        <v>0</v>
      </c>
      <c r="BI124" s="54">
        <f t="shared" si="148"/>
        <v>0</v>
      </c>
      <c r="BJ124" s="54">
        <f t="shared" si="148"/>
        <v>0</v>
      </c>
      <c r="BK124" s="54">
        <f t="shared" si="148"/>
        <v>0</v>
      </c>
      <c r="BL124" s="54">
        <f t="shared" si="148"/>
        <v>0</v>
      </c>
      <c r="BM124" s="54">
        <f t="shared" si="148"/>
        <v>0</v>
      </c>
      <c r="BN124" s="54"/>
      <c r="BO124" s="54"/>
      <c r="BP124" s="24">
        <f t="shared" si="149"/>
        <v>0</v>
      </c>
      <c r="BQ124" s="54">
        <f t="shared" si="150"/>
        <v>0</v>
      </c>
      <c r="BR124" s="57">
        <f t="shared" si="125"/>
        <v>0.99969555043050429</v>
      </c>
      <c r="BS124" s="24">
        <f t="shared" si="151"/>
        <v>325100993</v>
      </c>
      <c r="BT124" s="54"/>
      <c r="BU124" s="54"/>
      <c r="BV124" s="54">
        <f>+'[1]OCTUBRE 2016'!$H$326</f>
        <v>325100993</v>
      </c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7">
        <f t="shared" si="127"/>
        <v>3.0444956949571278E-4</v>
      </c>
      <c r="CO124" s="24">
        <f t="shared" si="152"/>
        <v>99007</v>
      </c>
      <c r="CP124" s="24">
        <f t="shared" si="153"/>
        <v>0</v>
      </c>
      <c r="CQ124" s="54">
        <f t="shared" si="153"/>
        <v>99007</v>
      </c>
      <c r="CR124" s="54">
        <f t="shared" si="153"/>
        <v>0</v>
      </c>
      <c r="CS124" s="54">
        <f t="shared" si="153"/>
        <v>0</v>
      </c>
      <c r="CT124" s="54">
        <f t="shared" si="153"/>
        <v>0</v>
      </c>
      <c r="CU124" s="24">
        <f t="shared" si="153"/>
        <v>0</v>
      </c>
      <c r="CV124" s="54">
        <f t="shared" si="154"/>
        <v>0</v>
      </c>
      <c r="CW124" s="54">
        <f t="shared" si="154"/>
        <v>0</v>
      </c>
      <c r="CX124" s="24">
        <f t="shared" si="154"/>
        <v>0</v>
      </c>
      <c r="CY124" s="54">
        <f t="shared" si="155"/>
        <v>0</v>
      </c>
      <c r="CZ124" s="54">
        <f t="shared" si="155"/>
        <v>0</v>
      </c>
      <c r="DA124" s="54">
        <f t="shared" si="155"/>
        <v>0</v>
      </c>
      <c r="DB124" s="54">
        <f t="shared" si="156"/>
        <v>0</v>
      </c>
      <c r="DC124" s="54">
        <f t="shared" si="156"/>
        <v>0</v>
      </c>
      <c r="DD124" s="54">
        <f t="shared" si="156"/>
        <v>0</v>
      </c>
      <c r="DE124" s="54"/>
      <c r="DF124" s="54">
        <f t="shared" si="157"/>
        <v>0</v>
      </c>
      <c r="DG124" s="54">
        <f t="shared" si="157"/>
        <v>0</v>
      </c>
      <c r="DH124" s="54">
        <f t="shared" si="157"/>
        <v>0</v>
      </c>
      <c r="DJ124" s="29">
        <f t="shared" si="94"/>
        <v>325200000</v>
      </c>
      <c r="DK124" s="29">
        <f t="shared" si="96"/>
        <v>325200000</v>
      </c>
      <c r="DL124" s="29">
        <f t="shared" si="97"/>
        <v>325200000</v>
      </c>
    </row>
    <row r="125" spans="1:116" s="58" customFormat="1" ht="21.75" customHeight="1" x14ac:dyDescent="0.25">
      <c r="A125" s="246"/>
      <c r="B125" s="241"/>
      <c r="C125" s="55" t="s">
        <v>346</v>
      </c>
      <c r="D125" s="21" t="s">
        <v>347</v>
      </c>
      <c r="E125" s="89">
        <v>211</v>
      </c>
      <c r="F125" s="23" t="s">
        <v>324</v>
      </c>
      <c r="G125" s="24">
        <f t="shared" si="144"/>
        <v>250000000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7">
        <f t="shared" si="117"/>
        <v>0.99872130800000003</v>
      </c>
      <c r="AB125" s="24">
        <f t="shared" si="145"/>
        <v>249680327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>
        <f>+'[5]NOVIEMBRE 2016'!$W$389</f>
        <v>249680327</v>
      </c>
      <c r="AP125" s="54"/>
      <c r="AQ125" s="54"/>
      <c r="AR125" s="54"/>
      <c r="AS125" s="54"/>
      <c r="AT125" s="54"/>
      <c r="AU125" s="54"/>
      <c r="AV125" s="54"/>
      <c r="AW125" s="57">
        <f t="shared" si="119"/>
        <v>1.2786919999999702E-3</v>
      </c>
      <c r="AX125" s="24">
        <f t="shared" si="146"/>
        <v>319673</v>
      </c>
      <c r="AY125" s="54">
        <f t="shared" si="147"/>
        <v>0</v>
      </c>
      <c r="AZ125" s="54">
        <f t="shared" si="147"/>
        <v>0</v>
      </c>
      <c r="BA125" s="54">
        <f t="shared" si="147"/>
        <v>0</v>
      </c>
      <c r="BB125" s="54">
        <f t="shared" si="147"/>
        <v>0</v>
      </c>
      <c r="BC125" s="54">
        <f t="shared" si="147"/>
        <v>0</v>
      </c>
      <c r="BD125" s="54">
        <f t="shared" si="147"/>
        <v>0</v>
      </c>
      <c r="BE125" s="54">
        <f t="shared" si="147"/>
        <v>0</v>
      </c>
      <c r="BF125" s="54">
        <f t="shared" si="147"/>
        <v>0</v>
      </c>
      <c r="BG125" s="54">
        <f t="shared" si="147"/>
        <v>0</v>
      </c>
      <c r="BH125" s="54">
        <f t="shared" si="147"/>
        <v>0</v>
      </c>
      <c r="BI125" s="54">
        <f t="shared" si="147"/>
        <v>0</v>
      </c>
      <c r="BJ125" s="54">
        <f t="shared" si="147"/>
        <v>319673</v>
      </c>
      <c r="BK125" s="54">
        <f t="shared" si="147"/>
        <v>0</v>
      </c>
      <c r="BL125" s="54">
        <f t="shared" si="147"/>
        <v>0</v>
      </c>
      <c r="BM125" s="54">
        <f t="shared" si="147"/>
        <v>0</v>
      </c>
      <c r="BN125" s="54"/>
      <c r="BO125" s="54">
        <f>X125-AT125</f>
        <v>0</v>
      </c>
      <c r="BP125" s="24">
        <f t="shared" si="149"/>
        <v>0</v>
      </c>
      <c r="BQ125" s="54">
        <f>Z125-AV125</f>
        <v>0</v>
      </c>
      <c r="BR125" s="57">
        <f t="shared" si="125"/>
        <v>0.99872130800000003</v>
      </c>
      <c r="BS125" s="24">
        <f t="shared" si="151"/>
        <v>249680327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>
        <f>+'[8]JULIO 2016'!$H$221</f>
        <v>249680327</v>
      </c>
      <c r="CG125" s="54"/>
      <c r="CH125" s="54"/>
      <c r="CI125" s="54"/>
      <c r="CJ125" s="54"/>
      <c r="CK125" s="54"/>
      <c r="CL125" s="54"/>
      <c r="CM125" s="54"/>
      <c r="CN125" s="57">
        <f t="shared" si="127"/>
        <v>1.2786919999999702E-3</v>
      </c>
      <c r="CO125" s="24">
        <f t="shared" si="152"/>
        <v>319673</v>
      </c>
      <c r="CP125" s="24">
        <f t="shared" si="153"/>
        <v>0</v>
      </c>
      <c r="CQ125" s="24">
        <f t="shared" si="153"/>
        <v>0</v>
      </c>
      <c r="CR125" s="24">
        <f t="shared" si="153"/>
        <v>0</v>
      </c>
      <c r="CS125" s="24">
        <f t="shared" si="153"/>
        <v>0</v>
      </c>
      <c r="CT125" s="24">
        <f t="shared" si="153"/>
        <v>0</v>
      </c>
      <c r="CU125" s="24">
        <f t="shared" si="153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55"/>
        <v>0</v>
      </c>
      <c r="CZ125" s="24">
        <f t="shared" si="155"/>
        <v>0</v>
      </c>
      <c r="DA125" s="24">
        <f t="shared" si="155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  <c r="DJ125" s="29">
        <f t="shared" si="94"/>
        <v>250000000</v>
      </c>
      <c r="DK125" s="29">
        <f t="shared" si="96"/>
        <v>250000000</v>
      </c>
      <c r="DL125" s="29">
        <f t="shared" si="97"/>
        <v>250000000</v>
      </c>
    </row>
    <row r="126" spans="1:116" s="58" customFormat="1" ht="50.25" customHeight="1" x14ac:dyDescent="0.25">
      <c r="A126" s="96"/>
      <c r="B126" s="21" t="s">
        <v>348</v>
      </c>
      <c r="C126" s="55" t="s">
        <v>349</v>
      </c>
      <c r="D126" s="21" t="s">
        <v>350</v>
      </c>
      <c r="E126" s="89" t="s">
        <v>351</v>
      </c>
      <c r="F126" s="23" t="s">
        <v>324</v>
      </c>
      <c r="G126" s="24">
        <f t="shared" si="144"/>
        <v>3185000000</v>
      </c>
      <c r="H126" s="28"/>
      <c r="I126" s="5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7">
        <f t="shared" si="117"/>
        <v>0.7800764106750393</v>
      </c>
      <c r="AB126" s="24">
        <f t="shared" si="145"/>
        <v>2484543368</v>
      </c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>
        <f>+'[10]SEPTIEMBRE 2016'!$X$3643</f>
        <v>451915027</v>
      </c>
      <c r="AQ126" s="54"/>
      <c r="AR126" s="54"/>
      <c r="AS126" s="54"/>
      <c r="AT126" s="54">
        <f>+'[4]DICIEMBRE 2016'!$AB$4811</f>
        <v>2032628341</v>
      </c>
      <c r="AU126" s="54"/>
      <c r="AV126" s="54"/>
      <c r="AW126" s="57">
        <f t="shared" si="119"/>
        <v>0.2199235893249607</v>
      </c>
      <c r="AX126" s="24">
        <f t="shared" si="146"/>
        <v>700456632</v>
      </c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>
        <f>T126-AP126</f>
        <v>33084973</v>
      </c>
      <c r="BL126" s="54"/>
      <c r="BM126" s="54"/>
      <c r="BN126" s="54"/>
      <c r="BO126" s="54">
        <f>X126-AT126</f>
        <v>667371659</v>
      </c>
      <c r="BP126" s="24"/>
      <c r="BQ126" s="54"/>
      <c r="BR126" s="57">
        <f t="shared" si="125"/>
        <v>0.7800764106750393</v>
      </c>
      <c r="BS126" s="24">
        <f t="shared" si="151"/>
        <v>2484543368</v>
      </c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>
        <f>+'[10]SEPTIEMBRE 2016'!$H$3653</f>
        <v>451915027</v>
      </c>
      <c r="CH126" s="54"/>
      <c r="CI126" s="54"/>
      <c r="CJ126" s="54"/>
      <c r="CK126" s="54">
        <f>+'[2]DICIEMBRE 2016'!$H$4806</f>
        <v>2032628341</v>
      </c>
      <c r="CL126" s="54"/>
      <c r="CM126" s="54"/>
      <c r="CN126" s="57">
        <f t="shared" si="127"/>
        <v>0.2199235893249607</v>
      </c>
      <c r="CO126" s="24">
        <f t="shared" si="152"/>
        <v>700456632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667371659</v>
      </c>
      <c r="DG126" s="24"/>
      <c r="DH126" s="24"/>
      <c r="DJ126" s="29">
        <f t="shared" si="94"/>
        <v>3185000000</v>
      </c>
      <c r="DK126" s="29">
        <f t="shared" si="96"/>
        <v>3185000000</v>
      </c>
      <c r="DL126" s="29">
        <f t="shared" si="97"/>
        <v>3185000000</v>
      </c>
    </row>
    <row r="127" spans="1:116" ht="33.75" customHeight="1" x14ac:dyDescent="0.25">
      <c r="A127" s="246" t="s">
        <v>314</v>
      </c>
      <c r="B127" s="239" t="s">
        <v>352</v>
      </c>
      <c r="C127" s="69" t="s">
        <v>353</v>
      </c>
      <c r="D127" s="21" t="s">
        <v>354</v>
      </c>
      <c r="E127" s="94">
        <v>510</v>
      </c>
      <c r="F127" s="23" t="s">
        <v>355</v>
      </c>
      <c r="G127" s="24">
        <f t="shared" si="144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7"/>
        <v>0.99301155970512034</v>
      </c>
      <c r="AB127" s="24">
        <f t="shared" si="145"/>
        <v>96807696</v>
      </c>
      <c r="AC127" s="24"/>
      <c r="AD127" s="24"/>
      <c r="AE127" s="24"/>
      <c r="AF127" s="24"/>
      <c r="AG127" s="24">
        <f>+'[4]DICIEMBRE 2016'!$O$3842</f>
        <v>91154992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>
        <f>+'[5]NOVIEMBRE 2016'!$Y$3656</f>
        <v>5652704</v>
      </c>
      <c r="AR127" s="24"/>
      <c r="AS127" s="24"/>
      <c r="AT127" s="24"/>
      <c r="AU127" s="24"/>
      <c r="AV127" s="24"/>
      <c r="AW127" s="25">
        <f t="shared" si="119"/>
        <v>6.9884402948796609E-3</v>
      </c>
      <c r="AX127" s="24">
        <f t="shared" si="146"/>
        <v>681296</v>
      </c>
      <c r="AY127" s="24">
        <f t="shared" ref="AY127:BA132" si="158">H127-AD127</f>
        <v>0</v>
      </c>
      <c r="AZ127" s="24">
        <f t="shared" si="158"/>
        <v>0</v>
      </c>
      <c r="BA127" s="24">
        <f t="shared" si="158"/>
        <v>0</v>
      </c>
      <c r="BB127" s="24">
        <f t="shared" ref="BB127:BM132" si="159">+K127-AG127</f>
        <v>334000</v>
      </c>
      <c r="BC127" s="24">
        <f t="shared" si="159"/>
        <v>0</v>
      </c>
      <c r="BD127" s="24">
        <f t="shared" si="159"/>
        <v>0</v>
      </c>
      <c r="BE127" s="24">
        <f t="shared" si="159"/>
        <v>0</v>
      </c>
      <c r="BF127" s="24">
        <f t="shared" si="159"/>
        <v>0</v>
      </c>
      <c r="BG127" s="24">
        <f t="shared" si="159"/>
        <v>0</v>
      </c>
      <c r="BH127" s="24">
        <f t="shared" si="159"/>
        <v>0</v>
      </c>
      <c r="BI127" s="24">
        <f t="shared" si="159"/>
        <v>0</v>
      </c>
      <c r="BJ127" s="24">
        <f t="shared" si="159"/>
        <v>0</v>
      </c>
      <c r="BK127" s="24">
        <f t="shared" si="159"/>
        <v>0</v>
      </c>
      <c r="BL127" s="24">
        <f t="shared" si="159"/>
        <v>347296</v>
      </c>
      <c r="BM127" s="24">
        <f t="shared" si="159"/>
        <v>0</v>
      </c>
      <c r="BN127" s="24"/>
      <c r="BO127" s="24"/>
      <c r="BP127" s="24">
        <f t="shared" ref="BP127:BP132" si="160">Y127-AU127</f>
        <v>0</v>
      </c>
      <c r="BQ127" s="24">
        <f t="shared" ref="BQ127:BQ132" si="161">+Z127-AV127</f>
        <v>0</v>
      </c>
      <c r="BR127" s="25">
        <f t="shared" si="125"/>
        <v>0.99301155970512034</v>
      </c>
      <c r="BS127" s="24">
        <f t="shared" si="151"/>
        <v>96807696</v>
      </c>
      <c r="BT127" s="24"/>
      <c r="BU127" s="24"/>
      <c r="BV127" s="24"/>
      <c r="BW127" s="24"/>
      <c r="BX127" s="24">
        <f>+'[4]DICIEMBRE 2016'!$O$3842</f>
        <v>91154992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>
        <f>+'[2]DICIEMBRE 2016'!$Y$3841</f>
        <v>5652704</v>
      </c>
      <c r="CI127" s="24"/>
      <c r="CJ127" s="24"/>
      <c r="CK127" s="24"/>
      <c r="CL127" s="24"/>
      <c r="CM127" s="24"/>
      <c r="CN127" s="25">
        <f t="shared" si="127"/>
        <v>6.9884402948796609E-3</v>
      </c>
      <c r="CO127" s="24">
        <f t="shared" si="152"/>
        <v>681296</v>
      </c>
      <c r="CP127" s="24">
        <f t="shared" ref="CP127:CU132" si="162">H127-BU127</f>
        <v>0</v>
      </c>
      <c r="CQ127" s="24">
        <f t="shared" si="162"/>
        <v>0</v>
      </c>
      <c r="CR127" s="24">
        <f t="shared" si="162"/>
        <v>0</v>
      </c>
      <c r="CS127" s="24">
        <f t="shared" si="162"/>
        <v>334000</v>
      </c>
      <c r="CT127" s="24">
        <f t="shared" si="162"/>
        <v>0</v>
      </c>
      <c r="CU127" s="24">
        <f t="shared" si="162"/>
        <v>0</v>
      </c>
      <c r="CV127" s="24">
        <f t="shared" ref="CV127:CX132" si="163">+N127-CA127</f>
        <v>0</v>
      </c>
      <c r="CW127" s="24">
        <f t="shared" si="163"/>
        <v>0</v>
      </c>
      <c r="CX127" s="24">
        <f t="shared" si="163"/>
        <v>0</v>
      </c>
      <c r="CY127" s="24">
        <f t="shared" ref="CY127:DA132" si="164">Q127-CD127</f>
        <v>0</v>
      </c>
      <c r="CZ127" s="24">
        <f t="shared" si="164"/>
        <v>0</v>
      </c>
      <c r="DA127" s="24">
        <f t="shared" si="164"/>
        <v>0</v>
      </c>
      <c r="DB127" s="24">
        <f t="shared" ref="DB127:DD132" si="165">+T127-CG127</f>
        <v>0</v>
      </c>
      <c r="DC127" s="24">
        <f t="shared" si="165"/>
        <v>347296</v>
      </c>
      <c r="DD127" s="24">
        <f t="shared" si="165"/>
        <v>0</v>
      </c>
      <c r="DE127" s="24"/>
      <c r="DF127" s="24">
        <f t="shared" ref="DF127:DH132" si="166">+X127-CK127</f>
        <v>0</v>
      </c>
      <c r="DG127" s="24">
        <f t="shared" si="166"/>
        <v>0</v>
      </c>
      <c r="DH127" s="24">
        <f t="shared" si="166"/>
        <v>0</v>
      </c>
      <c r="DJ127" s="29">
        <f t="shared" si="94"/>
        <v>97488992</v>
      </c>
      <c r="DK127" s="29">
        <f t="shared" si="96"/>
        <v>97488992</v>
      </c>
      <c r="DL127" s="29">
        <f t="shared" si="97"/>
        <v>97488992</v>
      </c>
    </row>
    <row r="128" spans="1:116" ht="44.25" customHeight="1" x14ac:dyDescent="0.25">
      <c r="A128" s="246"/>
      <c r="B128" s="240"/>
      <c r="C128" s="69" t="s">
        <v>356</v>
      </c>
      <c r="D128" s="21" t="s">
        <v>357</v>
      </c>
      <c r="E128" s="94">
        <v>510</v>
      </c>
      <c r="F128" s="23" t="s">
        <v>355</v>
      </c>
      <c r="G128" s="24">
        <f t="shared" si="144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7"/>
        <v>0.9903049736763011</v>
      </c>
      <c r="AB128" s="24">
        <f t="shared" si="145"/>
        <v>104488076</v>
      </c>
      <c r="AC128" s="24"/>
      <c r="AD128" s="24"/>
      <c r="AE128" s="24"/>
      <c r="AF128" s="24"/>
      <c r="AG128" s="24">
        <f>+'[4]DICIEMBRE 2016'!$O$3869</f>
        <v>104488076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19"/>
        <v>9.6950263236988965E-3</v>
      </c>
      <c r="AX128" s="24">
        <f t="shared" si="146"/>
        <v>1022932</v>
      </c>
      <c r="AY128" s="24">
        <f t="shared" si="158"/>
        <v>0</v>
      </c>
      <c r="AZ128" s="24">
        <f t="shared" si="158"/>
        <v>0</v>
      </c>
      <c r="BA128" s="24">
        <f t="shared" si="158"/>
        <v>0</v>
      </c>
      <c r="BB128" s="24">
        <f t="shared" si="159"/>
        <v>1022932</v>
      </c>
      <c r="BC128" s="24">
        <f t="shared" si="159"/>
        <v>0</v>
      </c>
      <c r="BD128" s="24">
        <f t="shared" si="159"/>
        <v>0</v>
      </c>
      <c r="BE128" s="24">
        <f t="shared" si="159"/>
        <v>0</v>
      </c>
      <c r="BF128" s="24">
        <f t="shared" si="159"/>
        <v>0</v>
      </c>
      <c r="BG128" s="24">
        <f t="shared" si="159"/>
        <v>0</v>
      </c>
      <c r="BH128" s="24">
        <f t="shared" si="159"/>
        <v>0</v>
      </c>
      <c r="BI128" s="24">
        <f t="shared" si="159"/>
        <v>0</v>
      </c>
      <c r="BJ128" s="24">
        <f t="shared" si="159"/>
        <v>0</v>
      </c>
      <c r="BK128" s="24">
        <f t="shared" si="159"/>
        <v>0</v>
      </c>
      <c r="BL128" s="24">
        <f t="shared" si="159"/>
        <v>0</v>
      </c>
      <c r="BM128" s="24">
        <f t="shared" si="159"/>
        <v>0</v>
      </c>
      <c r="BN128" s="24"/>
      <c r="BO128" s="24"/>
      <c r="BP128" s="24">
        <f t="shared" si="160"/>
        <v>0</v>
      </c>
      <c r="BQ128" s="24">
        <f t="shared" si="161"/>
        <v>0</v>
      </c>
      <c r="BR128" s="25">
        <f t="shared" si="125"/>
        <v>0.9903049736763011</v>
      </c>
      <c r="BS128" s="24">
        <f t="shared" si="151"/>
        <v>104488076</v>
      </c>
      <c r="BT128" s="24"/>
      <c r="BU128" s="24"/>
      <c r="BV128" s="24"/>
      <c r="BW128" s="24"/>
      <c r="BX128" s="24">
        <f>+'[4]DICIEMBRE 2016'!$O$3869</f>
        <v>104488076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7"/>
        <v>9.6950263236988965E-3</v>
      </c>
      <c r="CO128" s="24">
        <f t="shared" si="152"/>
        <v>1022932</v>
      </c>
      <c r="CP128" s="24">
        <f t="shared" si="162"/>
        <v>0</v>
      </c>
      <c r="CQ128" s="24">
        <f t="shared" si="162"/>
        <v>0</v>
      </c>
      <c r="CR128" s="24">
        <f t="shared" si="162"/>
        <v>0</v>
      </c>
      <c r="CS128" s="24">
        <f t="shared" si="162"/>
        <v>1022932</v>
      </c>
      <c r="CT128" s="24">
        <f t="shared" si="162"/>
        <v>0</v>
      </c>
      <c r="CU128" s="24">
        <f t="shared" si="162"/>
        <v>0</v>
      </c>
      <c r="CV128" s="24">
        <f t="shared" si="163"/>
        <v>0</v>
      </c>
      <c r="CW128" s="24">
        <f t="shared" si="163"/>
        <v>0</v>
      </c>
      <c r="CX128" s="24">
        <f t="shared" si="163"/>
        <v>0</v>
      </c>
      <c r="CY128" s="24">
        <f t="shared" si="164"/>
        <v>0</v>
      </c>
      <c r="CZ128" s="24">
        <f t="shared" si="164"/>
        <v>0</v>
      </c>
      <c r="DA128" s="24">
        <f t="shared" si="164"/>
        <v>0</v>
      </c>
      <c r="DB128" s="24">
        <f t="shared" si="165"/>
        <v>0</v>
      </c>
      <c r="DC128" s="24">
        <f t="shared" si="165"/>
        <v>0</v>
      </c>
      <c r="DD128" s="24">
        <f t="shared" si="165"/>
        <v>0</v>
      </c>
      <c r="DE128" s="24"/>
      <c r="DF128" s="24">
        <f t="shared" si="166"/>
        <v>0</v>
      </c>
      <c r="DG128" s="24">
        <f t="shared" si="166"/>
        <v>0</v>
      </c>
      <c r="DH128" s="24">
        <f t="shared" si="166"/>
        <v>0</v>
      </c>
      <c r="DJ128" s="29">
        <f t="shared" si="94"/>
        <v>105511008</v>
      </c>
      <c r="DK128" s="29">
        <f t="shared" si="96"/>
        <v>105511008</v>
      </c>
      <c r="DL128" s="29">
        <f t="shared" si="97"/>
        <v>105511008</v>
      </c>
    </row>
    <row r="129" spans="1:116" ht="38.25" customHeight="1" x14ac:dyDescent="0.25">
      <c r="A129" s="246"/>
      <c r="B129" s="241"/>
      <c r="C129" s="69" t="s">
        <v>358</v>
      </c>
      <c r="D129" s="21" t="s">
        <v>359</v>
      </c>
      <c r="E129" s="94">
        <v>510</v>
      </c>
      <c r="F129" s="23" t="s">
        <v>355</v>
      </c>
      <c r="G129" s="24">
        <f t="shared" si="144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7"/>
        <v>0.75760000000000005</v>
      </c>
      <c r="AB129" s="24">
        <f t="shared" si="145"/>
        <v>7576000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>
        <f>+'[1]OCTUBRE 2016'!$W$3263</f>
        <v>7576000</v>
      </c>
      <c r="AP129" s="24"/>
      <c r="AQ129" s="24"/>
      <c r="AR129" s="24"/>
      <c r="AS129" s="24"/>
      <c r="AT129" s="24"/>
      <c r="AU129" s="24"/>
      <c r="AV129" s="24"/>
      <c r="AW129" s="25">
        <f t="shared" si="119"/>
        <v>0.24239999999999995</v>
      </c>
      <c r="AX129" s="24">
        <f t="shared" si="146"/>
        <v>2424000</v>
      </c>
      <c r="AY129" s="24">
        <f t="shared" si="158"/>
        <v>0</v>
      </c>
      <c r="AZ129" s="24">
        <f t="shared" si="158"/>
        <v>0</v>
      </c>
      <c r="BA129" s="24">
        <f t="shared" si="158"/>
        <v>0</v>
      </c>
      <c r="BB129" s="24">
        <f t="shared" si="159"/>
        <v>0</v>
      </c>
      <c r="BC129" s="24">
        <f t="shared" si="159"/>
        <v>0</v>
      </c>
      <c r="BD129" s="24">
        <f t="shared" si="159"/>
        <v>0</v>
      </c>
      <c r="BE129" s="24">
        <f t="shared" si="159"/>
        <v>0</v>
      </c>
      <c r="BF129" s="24">
        <f t="shared" si="159"/>
        <v>0</v>
      </c>
      <c r="BG129" s="24">
        <f t="shared" si="159"/>
        <v>0</v>
      </c>
      <c r="BH129" s="24">
        <f t="shared" si="159"/>
        <v>0</v>
      </c>
      <c r="BI129" s="24">
        <f t="shared" si="159"/>
        <v>0</v>
      </c>
      <c r="BJ129" s="24">
        <f t="shared" si="159"/>
        <v>2424000</v>
      </c>
      <c r="BK129" s="24">
        <f t="shared" si="159"/>
        <v>0</v>
      </c>
      <c r="BL129" s="24">
        <f t="shared" si="159"/>
        <v>0</v>
      </c>
      <c r="BM129" s="24">
        <f t="shared" si="159"/>
        <v>0</v>
      </c>
      <c r="BN129" s="24"/>
      <c r="BO129" s="24"/>
      <c r="BP129" s="24">
        <f t="shared" si="160"/>
        <v>0</v>
      </c>
      <c r="BQ129" s="24">
        <f t="shared" si="161"/>
        <v>0</v>
      </c>
      <c r="BR129" s="25">
        <f t="shared" si="125"/>
        <v>0.75760000000000005</v>
      </c>
      <c r="BS129" s="24">
        <f t="shared" si="151"/>
        <v>7576000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>
        <f>+'[5]NOVIEMBRE 2016'!$H$3703</f>
        <v>7576000</v>
      </c>
      <c r="CG129" s="24"/>
      <c r="CH129" s="24"/>
      <c r="CI129" s="24"/>
      <c r="CJ129" s="24"/>
      <c r="CK129" s="24"/>
      <c r="CL129" s="24"/>
      <c r="CM129" s="24"/>
      <c r="CN129" s="25">
        <f t="shared" si="127"/>
        <v>0.24239999999999995</v>
      </c>
      <c r="CO129" s="24">
        <f t="shared" si="152"/>
        <v>2424000</v>
      </c>
      <c r="CP129" s="24">
        <f t="shared" si="162"/>
        <v>0</v>
      </c>
      <c r="CQ129" s="24">
        <f t="shared" si="162"/>
        <v>0</v>
      </c>
      <c r="CR129" s="24">
        <f t="shared" si="162"/>
        <v>0</v>
      </c>
      <c r="CS129" s="24">
        <f t="shared" si="162"/>
        <v>0</v>
      </c>
      <c r="CT129" s="24">
        <f t="shared" si="162"/>
        <v>0</v>
      </c>
      <c r="CU129" s="24">
        <f t="shared" si="162"/>
        <v>0</v>
      </c>
      <c r="CV129" s="24">
        <f t="shared" si="163"/>
        <v>0</v>
      </c>
      <c r="CW129" s="24">
        <f t="shared" si="163"/>
        <v>0</v>
      </c>
      <c r="CX129" s="24">
        <f t="shared" si="163"/>
        <v>0</v>
      </c>
      <c r="CY129" s="24">
        <f t="shared" si="164"/>
        <v>0</v>
      </c>
      <c r="CZ129" s="24">
        <f t="shared" si="164"/>
        <v>0</v>
      </c>
      <c r="DA129" s="24">
        <f t="shared" si="164"/>
        <v>2424000</v>
      </c>
      <c r="DB129" s="24">
        <f t="shared" si="165"/>
        <v>0</v>
      </c>
      <c r="DC129" s="24">
        <f t="shared" si="165"/>
        <v>0</v>
      </c>
      <c r="DD129" s="24">
        <f t="shared" si="165"/>
        <v>0</v>
      </c>
      <c r="DE129" s="24"/>
      <c r="DF129" s="24">
        <f t="shared" si="166"/>
        <v>0</v>
      </c>
      <c r="DG129" s="24">
        <f t="shared" si="166"/>
        <v>0</v>
      </c>
      <c r="DH129" s="24">
        <f t="shared" si="166"/>
        <v>0</v>
      </c>
      <c r="DJ129" s="29">
        <f t="shared" si="94"/>
        <v>10000000</v>
      </c>
      <c r="DK129" s="29">
        <f t="shared" si="96"/>
        <v>10000000</v>
      </c>
      <c r="DL129" s="29">
        <f t="shared" si="97"/>
        <v>10000000</v>
      </c>
    </row>
    <row r="130" spans="1:116" ht="37.5" customHeight="1" x14ac:dyDescent="0.25">
      <c r="A130" s="246"/>
      <c r="B130" s="88" t="s">
        <v>360</v>
      </c>
      <c r="C130" s="69" t="s">
        <v>361</v>
      </c>
      <c r="D130" s="21" t="s">
        <v>362</v>
      </c>
      <c r="E130" s="94">
        <v>510</v>
      </c>
      <c r="F130" s="23" t="s">
        <v>355</v>
      </c>
      <c r="G130" s="24">
        <f t="shared" si="144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7"/>
        <v>0.97971187500000001</v>
      </c>
      <c r="AB130" s="24">
        <f t="shared" si="145"/>
        <v>78376950</v>
      </c>
      <c r="AC130" s="24"/>
      <c r="AD130" s="24"/>
      <c r="AE130" s="24"/>
      <c r="AF130" s="24"/>
      <c r="AG130" s="24">
        <f>+'[5]NOVIEMBRE 2016'!$O$3715</f>
        <v>78376950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9"/>
        <v>2.028812499999999E-2</v>
      </c>
      <c r="AX130" s="24">
        <f t="shared" si="146"/>
        <v>1623050</v>
      </c>
      <c r="AY130" s="24">
        <f t="shared" si="158"/>
        <v>0</v>
      </c>
      <c r="AZ130" s="24">
        <f t="shared" si="158"/>
        <v>0</v>
      </c>
      <c r="BA130" s="24">
        <f t="shared" si="158"/>
        <v>0</v>
      </c>
      <c r="BB130" s="24">
        <f t="shared" si="159"/>
        <v>1623050</v>
      </c>
      <c r="BC130" s="24">
        <f t="shared" si="159"/>
        <v>0</v>
      </c>
      <c r="BD130" s="24">
        <f t="shared" si="159"/>
        <v>0</v>
      </c>
      <c r="BE130" s="24">
        <f t="shared" si="159"/>
        <v>0</v>
      </c>
      <c r="BF130" s="24">
        <f t="shared" si="159"/>
        <v>0</v>
      </c>
      <c r="BG130" s="24">
        <f t="shared" si="159"/>
        <v>0</v>
      </c>
      <c r="BH130" s="24">
        <f t="shared" si="159"/>
        <v>0</v>
      </c>
      <c r="BI130" s="24">
        <f t="shared" si="159"/>
        <v>0</v>
      </c>
      <c r="BJ130" s="24">
        <f t="shared" si="159"/>
        <v>0</v>
      </c>
      <c r="BK130" s="24">
        <f t="shared" si="159"/>
        <v>0</v>
      </c>
      <c r="BL130" s="24">
        <f t="shared" si="159"/>
        <v>0</v>
      </c>
      <c r="BM130" s="24">
        <f t="shared" si="159"/>
        <v>0</v>
      </c>
      <c r="BN130" s="24"/>
      <c r="BO130" s="24"/>
      <c r="BP130" s="24">
        <f t="shared" si="160"/>
        <v>0</v>
      </c>
      <c r="BQ130" s="24">
        <f t="shared" si="161"/>
        <v>0</v>
      </c>
      <c r="BR130" s="25">
        <f t="shared" si="125"/>
        <v>0.97971187500000001</v>
      </c>
      <c r="BS130" s="24">
        <f t="shared" si="151"/>
        <v>78376950</v>
      </c>
      <c r="BT130" s="24"/>
      <c r="BU130" s="24"/>
      <c r="BV130" s="24"/>
      <c r="BW130" s="24"/>
      <c r="BX130" s="24">
        <f>+'[14]MARZO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7"/>
        <v>2.028812499999999E-2</v>
      </c>
      <c r="CO130" s="24">
        <f t="shared" si="152"/>
        <v>1623050</v>
      </c>
      <c r="CP130" s="24">
        <f t="shared" si="162"/>
        <v>0</v>
      </c>
      <c r="CQ130" s="24">
        <f t="shared" si="162"/>
        <v>0</v>
      </c>
      <c r="CR130" s="24">
        <f t="shared" si="162"/>
        <v>0</v>
      </c>
      <c r="CS130" s="24">
        <f t="shared" si="162"/>
        <v>1623050</v>
      </c>
      <c r="CT130" s="24">
        <f t="shared" si="162"/>
        <v>0</v>
      </c>
      <c r="CU130" s="24">
        <f t="shared" si="162"/>
        <v>0</v>
      </c>
      <c r="CV130" s="24">
        <f t="shared" si="163"/>
        <v>0</v>
      </c>
      <c r="CW130" s="24">
        <f t="shared" si="163"/>
        <v>0</v>
      </c>
      <c r="CX130" s="24">
        <f t="shared" si="163"/>
        <v>0</v>
      </c>
      <c r="CY130" s="24">
        <f t="shared" si="164"/>
        <v>0</v>
      </c>
      <c r="CZ130" s="24">
        <f t="shared" si="164"/>
        <v>0</v>
      </c>
      <c r="DA130" s="24">
        <f t="shared" si="164"/>
        <v>0</v>
      </c>
      <c r="DB130" s="24">
        <f t="shared" si="165"/>
        <v>0</v>
      </c>
      <c r="DC130" s="24">
        <f t="shared" si="165"/>
        <v>0</v>
      </c>
      <c r="DD130" s="24">
        <f t="shared" si="165"/>
        <v>0</v>
      </c>
      <c r="DE130" s="24"/>
      <c r="DF130" s="24">
        <f t="shared" si="166"/>
        <v>0</v>
      </c>
      <c r="DG130" s="24">
        <f t="shared" si="166"/>
        <v>0</v>
      </c>
      <c r="DH130" s="24">
        <f t="shared" si="166"/>
        <v>0</v>
      </c>
      <c r="DJ130" s="29">
        <f t="shared" si="94"/>
        <v>80000000</v>
      </c>
      <c r="DK130" s="29">
        <f t="shared" si="96"/>
        <v>80000000</v>
      </c>
      <c r="DL130" s="29">
        <f t="shared" si="97"/>
        <v>80000000</v>
      </c>
    </row>
    <row r="131" spans="1:116" ht="35.25" customHeight="1" x14ac:dyDescent="0.25">
      <c r="A131" s="246"/>
      <c r="B131" s="88" t="s">
        <v>363</v>
      </c>
      <c r="C131" s="69" t="s">
        <v>364</v>
      </c>
      <c r="D131" s="21" t="s">
        <v>365</v>
      </c>
      <c r="E131" s="94">
        <v>510</v>
      </c>
      <c r="F131" s="23" t="s">
        <v>366</v>
      </c>
      <c r="G131" s="24">
        <f t="shared" si="144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7"/>
        <v>0.97727465454545459</v>
      </c>
      <c r="AB131" s="24">
        <f t="shared" si="145"/>
        <v>107500212</v>
      </c>
      <c r="AC131" s="24"/>
      <c r="AD131" s="24"/>
      <c r="AE131" s="24"/>
      <c r="AF131" s="24"/>
      <c r="AG131" s="24">
        <f>+'[5]NOVIEMBRE 2016'!$O$3728</f>
        <v>107500212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19"/>
        <v>2.2725345454545409E-2</v>
      </c>
      <c r="AX131" s="24">
        <f t="shared" si="146"/>
        <v>2499788</v>
      </c>
      <c r="AY131" s="24">
        <f t="shared" si="158"/>
        <v>0</v>
      </c>
      <c r="AZ131" s="24">
        <f t="shared" si="158"/>
        <v>0</v>
      </c>
      <c r="BA131" s="24">
        <f t="shared" si="158"/>
        <v>0</v>
      </c>
      <c r="BB131" s="24">
        <f t="shared" si="159"/>
        <v>2499788</v>
      </c>
      <c r="BC131" s="24">
        <f t="shared" si="159"/>
        <v>0</v>
      </c>
      <c r="BD131" s="24">
        <f t="shared" si="159"/>
        <v>0</v>
      </c>
      <c r="BE131" s="24">
        <f t="shared" si="159"/>
        <v>0</v>
      </c>
      <c r="BF131" s="24">
        <f t="shared" si="159"/>
        <v>0</v>
      </c>
      <c r="BG131" s="24">
        <f t="shared" si="159"/>
        <v>0</v>
      </c>
      <c r="BH131" s="24">
        <f t="shared" si="159"/>
        <v>0</v>
      </c>
      <c r="BI131" s="24">
        <f t="shared" si="159"/>
        <v>0</v>
      </c>
      <c r="BJ131" s="24">
        <f t="shared" si="159"/>
        <v>0</v>
      </c>
      <c r="BK131" s="24">
        <f t="shared" si="159"/>
        <v>0</v>
      </c>
      <c r="BL131" s="24">
        <f t="shared" si="159"/>
        <v>0</v>
      </c>
      <c r="BM131" s="24">
        <f t="shared" si="159"/>
        <v>0</v>
      </c>
      <c r="BN131" s="24"/>
      <c r="BO131" s="24"/>
      <c r="BP131" s="24">
        <f t="shared" si="160"/>
        <v>0</v>
      </c>
      <c r="BQ131" s="24">
        <f t="shared" si="161"/>
        <v>0</v>
      </c>
      <c r="BR131" s="25">
        <f t="shared" si="125"/>
        <v>0.97727465454545459</v>
      </c>
      <c r="BS131" s="24">
        <f t="shared" si="151"/>
        <v>107500212</v>
      </c>
      <c r="BT131" s="24"/>
      <c r="BU131" s="24"/>
      <c r="BV131" s="24"/>
      <c r="BW131" s="24"/>
      <c r="BX131" s="24">
        <f>+'[10]SEPTIEMBRE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7"/>
        <v>2.2725345454545409E-2</v>
      </c>
      <c r="CO131" s="24">
        <f t="shared" si="152"/>
        <v>2499788</v>
      </c>
      <c r="CP131" s="24">
        <f t="shared" si="162"/>
        <v>0</v>
      </c>
      <c r="CQ131" s="24">
        <f t="shared" si="162"/>
        <v>0</v>
      </c>
      <c r="CR131" s="24">
        <f t="shared" si="162"/>
        <v>0</v>
      </c>
      <c r="CS131" s="24">
        <f t="shared" si="162"/>
        <v>2499788</v>
      </c>
      <c r="CT131" s="24">
        <f t="shared" si="162"/>
        <v>0</v>
      </c>
      <c r="CU131" s="24">
        <f t="shared" si="162"/>
        <v>0</v>
      </c>
      <c r="CV131" s="24">
        <f t="shared" si="163"/>
        <v>0</v>
      </c>
      <c r="CW131" s="24">
        <f t="shared" si="163"/>
        <v>0</v>
      </c>
      <c r="CX131" s="24">
        <f t="shared" si="163"/>
        <v>0</v>
      </c>
      <c r="CY131" s="24">
        <f t="shared" si="164"/>
        <v>0</v>
      </c>
      <c r="CZ131" s="24">
        <f t="shared" si="164"/>
        <v>0</v>
      </c>
      <c r="DA131" s="24">
        <f t="shared" si="164"/>
        <v>0</v>
      </c>
      <c r="DB131" s="24">
        <f t="shared" si="165"/>
        <v>0</v>
      </c>
      <c r="DC131" s="24">
        <f t="shared" si="165"/>
        <v>0</v>
      </c>
      <c r="DD131" s="24">
        <f t="shared" si="165"/>
        <v>0</v>
      </c>
      <c r="DE131" s="24"/>
      <c r="DF131" s="24">
        <f t="shared" si="166"/>
        <v>0</v>
      </c>
      <c r="DG131" s="24">
        <f t="shared" si="166"/>
        <v>0</v>
      </c>
      <c r="DH131" s="24">
        <f t="shared" si="166"/>
        <v>0</v>
      </c>
      <c r="DJ131" s="29">
        <f t="shared" si="94"/>
        <v>110000000</v>
      </c>
      <c r="DK131" s="29">
        <f t="shared" si="96"/>
        <v>110000000</v>
      </c>
      <c r="DL131" s="29">
        <f t="shared" si="97"/>
        <v>110000000</v>
      </c>
    </row>
    <row r="132" spans="1:116" ht="41.25" customHeight="1" x14ac:dyDescent="0.25">
      <c r="A132" s="247"/>
      <c r="B132" s="88" t="s">
        <v>367</v>
      </c>
      <c r="C132" s="69" t="s">
        <v>368</v>
      </c>
      <c r="D132" s="21" t="s">
        <v>369</v>
      </c>
      <c r="E132" s="94">
        <v>310</v>
      </c>
      <c r="F132" s="23" t="s">
        <v>370</v>
      </c>
      <c r="G132" s="24">
        <f t="shared" si="144"/>
        <v>235146880</v>
      </c>
      <c r="H132" s="24"/>
      <c r="I132" s="24"/>
      <c r="J132" s="24"/>
      <c r="K132" s="24">
        <f>243168096-40000000</f>
        <v>203168096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7"/>
        <v>0.64452944899800502</v>
      </c>
      <c r="AB132" s="24">
        <f t="shared" si="145"/>
        <v>151559089</v>
      </c>
      <c r="AC132" s="24"/>
      <c r="AD132" s="24"/>
      <c r="AE132" s="24"/>
      <c r="AF132" s="24"/>
      <c r="AG132" s="24">
        <f>+'[4]DICIEMBRE 2016'!$O$935</f>
        <v>146972351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+'[9]AGOSTO 2016'!$AG$556</f>
        <v>4586738</v>
      </c>
      <c r="AW132" s="25">
        <f t="shared" si="119"/>
        <v>0.35547055100199498</v>
      </c>
      <c r="AX132" s="24">
        <f t="shared" si="146"/>
        <v>83587791</v>
      </c>
      <c r="AY132" s="24">
        <f t="shared" si="158"/>
        <v>0</v>
      </c>
      <c r="AZ132" s="24">
        <f t="shared" si="158"/>
        <v>0</v>
      </c>
      <c r="BA132" s="24">
        <f t="shared" si="158"/>
        <v>0</v>
      </c>
      <c r="BB132" s="24">
        <f t="shared" si="159"/>
        <v>56195745</v>
      </c>
      <c r="BC132" s="24">
        <f t="shared" si="159"/>
        <v>0</v>
      </c>
      <c r="BD132" s="24">
        <f t="shared" si="159"/>
        <v>0</v>
      </c>
      <c r="BE132" s="24">
        <f t="shared" si="159"/>
        <v>0</v>
      </c>
      <c r="BF132" s="24">
        <f t="shared" si="159"/>
        <v>0</v>
      </c>
      <c r="BG132" s="24">
        <f t="shared" si="159"/>
        <v>0</v>
      </c>
      <c r="BH132" s="24">
        <f t="shared" si="159"/>
        <v>0</v>
      </c>
      <c r="BI132" s="24">
        <f t="shared" si="159"/>
        <v>4978784</v>
      </c>
      <c r="BJ132" s="24">
        <f t="shared" si="159"/>
        <v>0</v>
      </c>
      <c r="BK132" s="24">
        <f t="shared" si="159"/>
        <v>0</v>
      </c>
      <c r="BL132" s="24">
        <f t="shared" si="159"/>
        <v>0</v>
      </c>
      <c r="BM132" s="24">
        <f t="shared" si="159"/>
        <v>0</v>
      </c>
      <c r="BN132" s="24"/>
      <c r="BO132" s="24"/>
      <c r="BP132" s="24">
        <f t="shared" si="160"/>
        <v>0</v>
      </c>
      <c r="BQ132" s="24">
        <f t="shared" si="161"/>
        <v>22413262</v>
      </c>
      <c r="BR132" s="25">
        <f t="shared" si="125"/>
        <v>0.64452944899800502</v>
      </c>
      <c r="BS132" s="24">
        <f t="shared" si="151"/>
        <v>151559089</v>
      </c>
      <c r="BT132" s="24"/>
      <c r="BU132" s="24"/>
      <c r="BV132" s="24"/>
      <c r="BW132" s="24"/>
      <c r="BX132" s="24">
        <f>+'[4]DICIEMBRE 2016'!$O$935</f>
        <v>146972351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+'[1]OCTUBRE 2016'!$H$870+'[1]OCTUBRE 2016'!$H$871+'[1]OCTUBRE 2016'!$H$856</f>
        <v>4586738</v>
      </c>
      <c r="CN132" s="25">
        <f t="shared" si="127"/>
        <v>0.35547055100199498</v>
      </c>
      <c r="CO132" s="24">
        <f t="shared" si="152"/>
        <v>83587791</v>
      </c>
      <c r="CP132" s="24">
        <f t="shared" si="162"/>
        <v>0</v>
      </c>
      <c r="CQ132" s="24">
        <f t="shared" si="162"/>
        <v>0</v>
      </c>
      <c r="CR132" s="24">
        <f t="shared" si="162"/>
        <v>0</v>
      </c>
      <c r="CS132" s="24">
        <f t="shared" si="162"/>
        <v>56195745</v>
      </c>
      <c r="CT132" s="24">
        <f t="shared" si="162"/>
        <v>0</v>
      </c>
      <c r="CU132" s="24">
        <f t="shared" si="162"/>
        <v>0</v>
      </c>
      <c r="CV132" s="24">
        <f t="shared" si="163"/>
        <v>0</v>
      </c>
      <c r="CW132" s="24">
        <f t="shared" si="163"/>
        <v>0</v>
      </c>
      <c r="CX132" s="24">
        <f t="shared" si="163"/>
        <v>0</v>
      </c>
      <c r="CY132" s="24">
        <f t="shared" si="164"/>
        <v>0</v>
      </c>
      <c r="CZ132" s="24">
        <f t="shared" si="164"/>
        <v>4978784</v>
      </c>
      <c r="DA132" s="24">
        <f t="shared" si="164"/>
        <v>0</v>
      </c>
      <c r="DB132" s="24">
        <f t="shared" si="165"/>
        <v>0</v>
      </c>
      <c r="DC132" s="24">
        <f t="shared" si="165"/>
        <v>0</v>
      </c>
      <c r="DD132" s="24">
        <f t="shared" si="165"/>
        <v>0</v>
      </c>
      <c r="DE132" s="24"/>
      <c r="DF132" s="24">
        <f t="shared" si="166"/>
        <v>0</v>
      </c>
      <c r="DG132" s="24">
        <f t="shared" si="166"/>
        <v>0</v>
      </c>
      <c r="DH132" s="24">
        <f t="shared" si="166"/>
        <v>22413262</v>
      </c>
      <c r="DJ132" s="29">
        <f t="shared" ref="DJ132:DJ146" si="167">+G132</f>
        <v>235146880</v>
      </c>
      <c r="DK132" s="29">
        <f t="shared" si="96"/>
        <v>235146880</v>
      </c>
      <c r="DL132" s="29">
        <f t="shared" si="97"/>
        <v>235146880</v>
      </c>
    </row>
    <row r="133" spans="1:116" s="43" customFormat="1" ht="18.75" customHeight="1" thickBot="1" x14ac:dyDescent="0.3">
      <c r="A133" s="97"/>
      <c r="B133" s="260" t="s">
        <v>371</v>
      </c>
      <c r="C133" s="261"/>
      <c r="D133" s="262"/>
      <c r="E133" s="98"/>
      <c r="F133" s="99"/>
      <c r="G133" s="61">
        <f t="shared" ref="G133:Z133" si="168">SUM(G114:G132)</f>
        <v>12695395182</v>
      </c>
      <c r="H133" s="61">
        <f t="shared" si="168"/>
        <v>0</v>
      </c>
      <c r="I133" s="61">
        <f t="shared" si="168"/>
        <v>7357828308</v>
      </c>
      <c r="J133" s="61">
        <f t="shared" si="168"/>
        <v>171003327</v>
      </c>
      <c r="K133" s="61">
        <f t="shared" si="168"/>
        <v>590168096</v>
      </c>
      <c r="L133" s="61">
        <f t="shared" si="168"/>
        <v>0</v>
      </c>
      <c r="M133" s="61">
        <f t="shared" si="168"/>
        <v>54387</v>
      </c>
      <c r="N133" s="61">
        <f t="shared" si="168"/>
        <v>30665828</v>
      </c>
      <c r="O133" s="61">
        <f t="shared" si="168"/>
        <v>1940856</v>
      </c>
      <c r="P133" s="61">
        <f t="shared" si="168"/>
        <v>3438802</v>
      </c>
      <c r="Q133" s="61">
        <f t="shared" si="168"/>
        <v>345941457</v>
      </c>
      <c r="R133" s="61">
        <f t="shared" si="168"/>
        <v>4978784</v>
      </c>
      <c r="S133" s="61">
        <f t="shared" si="168"/>
        <v>390000000</v>
      </c>
      <c r="T133" s="61">
        <f t="shared" si="168"/>
        <v>485000000</v>
      </c>
      <c r="U133" s="61">
        <f t="shared" si="168"/>
        <v>6000000</v>
      </c>
      <c r="V133" s="61">
        <f t="shared" si="168"/>
        <v>0</v>
      </c>
      <c r="W133" s="61">
        <f t="shared" si="168"/>
        <v>0</v>
      </c>
      <c r="X133" s="61">
        <f t="shared" si="168"/>
        <v>2700000000</v>
      </c>
      <c r="Y133" s="61">
        <f t="shared" si="168"/>
        <v>0</v>
      </c>
      <c r="Z133" s="61">
        <f t="shared" si="168"/>
        <v>608375337</v>
      </c>
      <c r="AA133" s="39">
        <f t="shared" si="117"/>
        <v>0.79239213469014802</v>
      </c>
      <c r="AB133" s="61">
        <f>SUM(AB114:AB132)</f>
        <v>10059731289</v>
      </c>
      <c r="AC133" s="61"/>
      <c r="AD133" s="61">
        <f t="shared" ref="AD133:AV133" si="169">SUM(AD114:AD132)</f>
        <v>0</v>
      </c>
      <c r="AE133" s="61">
        <f t="shared" si="169"/>
        <v>5959563249</v>
      </c>
      <c r="AF133" s="61">
        <f t="shared" si="169"/>
        <v>149170600</v>
      </c>
      <c r="AG133" s="61">
        <f t="shared" si="169"/>
        <v>528492581</v>
      </c>
      <c r="AH133" s="61">
        <f t="shared" si="169"/>
        <v>0</v>
      </c>
      <c r="AI133" s="61">
        <f t="shared" si="169"/>
        <v>0</v>
      </c>
      <c r="AJ133" s="61">
        <f t="shared" si="169"/>
        <v>0</v>
      </c>
      <c r="AK133" s="61">
        <f t="shared" si="169"/>
        <v>0</v>
      </c>
      <c r="AL133" s="61">
        <f t="shared" si="169"/>
        <v>3438802</v>
      </c>
      <c r="AM133" s="61">
        <f t="shared" si="169"/>
        <v>169852012</v>
      </c>
      <c r="AN133" s="61">
        <f t="shared" si="169"/>
        <v>0</v>
      </c>
      <c r="AO133" s="61">
        <f t="shared" si="169"/>
        <v>381016367</v>
      </c>
      <c r="AP133" s="61">
        <f t="shared" si="169"/>
        <v>451915027</v>
      </c>
      <c r="AQ133" s="61">
        <f t="shared" si="169"/>
        <v>5652704</v>
      </c>
      <c r="AR133" s="61">
        <f t="shared" si="169"/>
        <v>0</v>
      </c>
      <c r="AS133" s="61">
        <f t="shared" si="169"/>
        <v>0</v>
      </c>
      <c r="AT133" s="61">
        <f t="shared" si="169"/>
        <v>2032628341</v>
      </c>
      <c r="AU133" s="61">
        <f t="shared" si="169"/>
        <v>0</v>
      </c>
      <c r="AV133" s="61">
        <f t="shared" si="169"/>
        <v>378001606</v>
      </c>
      <c r="AW133" s="39">
        <f t="shared" si="119"/>
        <v>0.20760786530985198</v>
      </c>
      <c r="AX133" s="61">
        <f>SUM(AX114:AX132)</f>
        <v>2635663893</v>
      </c>
      <c r="AY133" s="61">
        <f t="shared" ref="AY133:BQ133" si="170">SUM(AY114:AY132)</f>
        <v>0</v>
      </c>
      <c r="AZ133" s="61">
        <f t="shared" si="170"/>
        <v>1398265059</v>
      </c>
      <c r="BA133" s="61">
        <f t="shared" si="170"/>
        <v>21832727</v>
      </c>
      <c r="BB133" s="61">
        <f t="shared" si="170"/>
        <v>61675515</v>
      </c>
      <c r="BC133" s="61">
        <f t="shared" si="170"/>
        <v>0</v>
      </c>
      <c r="BD133" s="61">
        <f t="shared" si="170"/>
        <v>54387</v>
      </c>
      <c r="BE133" s="61">
        <f t="shared" si="170"/>
        <v>30665828</v>
      </c>
      <c r="BF133" s="61">
        <f t="shared" si="170"/>
        <v>1940856</v>
      </c>
      <c r="BG133" s="61">
        <f t="shared" si="170"/>
        <v>0</v>
      </c>
      <c r="BH133" s="61">
        <f t="shared" si="170"/>
        <v>176089445</v>
      </c>
      <c r="BI133" s="61">
        <f t="shared" si="170"/>
        <v>4978784</v>
      </c>
      <c r="BJ133" s="61">
        <f t="shared" si="170"/>
        <v>8983633</v>
      </c>
      <c r="BK133" s="61">
        <f t="shared" si="170"/>
        <v>33084973</v>
      </c>
      <c r="BL133" s="61">
        <f t="shared" si="170"/>
        <v>347296</v>
      </c>
      <c r="BM133" s="61">
        <f t="shared" si="170"/>
        <v>0</v>
      </c>
      <c r="BN133" s="61">
        <f t="shared" si="170"/>
        <v>0</v>
      </c>
      <c r="BO133" s="61">
        <f t="shared" si="170"/>
        <v>667371659</v>
      </c>
      <c r="BP133" s="61">
        <f t="shared" si="170"/>
        <v>0</v>
      </c>
      <c r="BQ133" s="61">
        <f t="shared" si="170"/>
        <v>230373731</v>
      </c>
      <c r="BR133" s="39">
        <f t="shared" si="125"/>
        <v>0.79239213469014802</v>
      </c>
      <c r="BS133" s="61">
        <f t="shared" ref="BS133:CI133" si="171">SUM(BS114:BS132)</f>
        <v>10059731289</v>
      </c>
      <c r="BT133" s="61">
        <f t="shared" si="171"/>
        <v>0</v>
      </c>
      <c r="BU133" s="61">
        <f t="shared" si="171"/>
        <v>0</v>
      </c>
      <c r="BV133" s="61">
        <f t="shared" si="171"/>
        <v>5959563249</v>
      </c>
      <c r="BW133" s="61">
        <f t="shared" si="171"/>
        <v>149170600</v>
      </c>
      <c r="BX133" s="61">
        <f t="shared" si="171"/>
        <v>528492581</v>
      </c>
      <c r="BY133" s="61">
        <f t="shared" si="171"/>
        <v>0</v>
      </c>
      <c r="BZ133" s="61">
        <f t="shared" si="171"/>
        <v>0</v>
      </c>
      <c r="CA133" s="61">
        <f t="shared" si="171"/>
        <v>0</v>
      </c>
      <c r="CB133" s="61">
        <f t="shared" si="171"/>
        <v>0</v>
      </c>
      <c r="CC133" s="61">
        <f t="shared" si="171"/>
        <v>3438802</v>
      </c>
      <c r="CD133" s="61">
        <f t="shared" si="171"/>
        <v>169852012</v>
      </c>
      <c r="CE133" s="61">
        <f t="shared" si="171"/>
        <v>0</v>
      </c>
      <c r="CF133" s="61">
        <f t="shared" si="171"/>
        <v>381016367</v>
      </c>
      <c r="CG133" s="61">
        <f t="shared" si="171"/>
        <v>451915027</v>
      </c>
      <c r="CH133" s="61">
        <f t="shared" si="171"/>
        <v>5652704</v>
      </c>
      <c r="CI133" s="61">
        <f t="shared" si="171"/>
        <v>0</v>
      </c>
      <c r="CJ133" s="61"/>
      <c r="CK133" s="61">
        <f>SUM(CK114:CK132)</f>
        <v>2032628341</v>
      </c>
      <c r="CL133" s="61">
        <f>SUM(CL114:CL132)</f>
        <v>0</v>
      </c>
      <c r="CM133" s="61">
        <f>SUM(CM114:CM132)</f>
        <v>378001606</v>
      </c>
      <c r="CN133" s="39">
        <f t="shared" si="127"/>
        <v>0.20760786530985198</v>
      </c>
      <c r="CO133" s="61">
        <f t="shared" ref="CO133:DH133" si="172">SUM(CO114:CO132)</f>
        <v>2635663893</v>
      </c>
      <c r="CP133" s="61">
        <f t="shared" si="172"/>
        <v>0</v>
      </c>
      <c r="CQ133" s="61">
        <f t="shared" si="172"/>
        <v>1398265059</v>
      </c>
      <c r="CR133" s="61">
        <f t="shared" si="172"/>
        <v>21832727</v>
      </c>
      <c r="CS133" s="61">
        <f t="shared" si="172"/>
        <v>61675515</v>
      </c>
      <c r="CT133" s="61">
        <f t="shared" si="172"/>
        <v>0</v>
      </c>
      <c r="CU133" s="61">
        <f t="shared" si="172"/>
        <v>54387</v>
      </c>
      <c r="CV133" s="61">
        <f t="shared" si="172"/>
        <v>30665828</v>
      </c>
      <c r="CW133" s="61">
        <f t="shared" si="172"/>
        <v>1940856</v>
      </c>
      <c r="CX133" s="61">
        <f t="shared" si="172"/>
        <v>0</v>
      </c>
      <c r="CY133" s="61">
        <f t="shared" si="172"/>
        <v>176089445</v>
      </c>
      <c r="CZ133" s="61">
        <f t="shared" si="172"/>
        <v>4978784</v>
      </c>
      <c r="DA133" s="61">
        <f t="shared" si="172"/>
        <v>8983633</v>
      </c>
      <c r="DB133" s="61">
        <f t="shared" si="172"/>
        <v>33084973</v>
      </c>
      <c r="DC133" s="61">
        <f t="shared" si="172"/>
        <v>347296</v>
      </c>
      <c r="DD133" s="61">
        <f t="shared" si="172"/>
        <v>0</v>
      </c>
      <c r="DE133" s="61">
        <f t="shared" si="172"/>
        <v>0</v>
      </c>
      <c r="DF133" s="61">
        <f t="shared" si="172"/>
        <v>667371659</v>
      </c>
      <c r="DG133" s="61">
        <f t="shared" si="172"/>
        <v>0</v>
      </c>
      <c r="DH133" s="61">
        <f t="shared" si="172"/>
        <v>230373731</v>
      </c>
      <c r="DJ133" s="29">
        <f t="shared" si="167"/>
        <v>12695395182</v>
      </c>
      <c r="DK133" s="29">
        <f t="shared" si="96"/>
        <v>12695395182</v>
      </c>
      <c r="DL133" s="29">
        <f t="shared" si="97"/>
        <v>12695395182</v>
      </c>
    </row>
    <row r="134" spans="1:116" ht="5.25" customHeight="1" thickTop="1" x14ac:dyDescent="0.25">
      <c r="C134" s="100"/>
      <c r="D134" s="100"/>
      <c r="E134" s="100"/>
      <c r="F134" s="100"/>
      <c r="G134" s="101"/>
      <c r="H134" s="101"/>
      <c r="I134" s="102"/>
      <c r="J134" s="101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4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104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104"/>
      <c r="BS134" s="105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104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J134" s="29"/>
      <c r="DK134" s="29"/>
      <c r="DL134" s="29"/>
    </row>
    <row r="135" spans="1:116" ht="19.5" customHeight="1" x14ac:dyDescent="0.25">
      <c r="C135" s="263" t="s">
        <v>372</v>
      </c>
      <c r="D135" s="264"/>
      <c r="E135" s="265"/>
      <c r="F135" s="106"/>
      <c r="G135" s="47">
        <f t="shared" ref="G135:Z135" si="173">G20+G60+G93+G113+G133</f>
        <v>25274746575</v>
      </c>
      <c r="H135" s="47">
        <f t="shared" si="173"/>
        <v>200000000</v>
      </c>
      <c r="I135" s="47">
        <f t="shared" si="173"/>
        <v>10524093099</v>
      </c>
      <c r="J135" s="47">
        <f t="shared" si="173"/>
        <v>171003327</v>
      </c>
      <c r="K135" s="47">
        <f t="shared" si="173"/>
        <v>2601016897</v>
      </c>
      <c r="L135" s="47">
        <f t="shared" si="173"/>
        <v>138372986</v>
      </c>
      <c r="M135" s="47">
        <f t="shared" si="173"/>
        <v>54387</v>
      </c>
      <c r="N135" s="47">
        <f t="shared" si="173"/>
        <v>30665828</v>
      </c>
      <c r="O135" s="47">
        <f t="shared" si="173"/>
        <v>1940856</v>
      </c>
      <c r="P135" s="47">
        <f t="shared" si="173"/>
        <v>3438802</v>
      </c>
      <c r="Q135" s="47">
        <f t="shared" si="173"/>
        <v>345941457</v>
      </c>
      <c r="R135" s="47">
        <f t="shared" si="173"/>
        <v>2356622849</v>
      </c>
      <c r="S135" s="47">
        <f t="shared" si="173"/>
        <v>1142029623</v>
      </c>
      <c r="T135" s="47">
        <f t="shared" si="173"/>
        <v>486796640</v>
      </c>
      <c r="U135" s="47">
        <f t="shared" si="173"/>
        <v>1306076765</v>
      </c>
      <c r="V135" s="47">
        <f t="shared" si="173"/>
        <v>1262551657</v>
      </c>
      <c r="W135" s="47">
        <f t="shared" si="173"/>
        <v>101970259</v>
      </c>
      <c r="X135" s="47">
        <f t="shared" si="173"/>
        <v>2700000000</v>
      </c>
      <c r="Y135" s="47">
        <f t="shared" si="173"/>
        <v>204741836</v>
      </c>
      <c r="Z135" s="47">
        <f t="shared" si="173"/>
        <v>1697429307</v>
      </c>
      <c r="AA135" s="107">
        <f>+AB135/G135</f>
        <v>0.83501119983039829</v>
      </c>
      <c r="AB135" s="47">
        <f>AB20+AB60+AB93+AB113+AB133</f>
        <v>21104696463</v>
      </c>
      <c r="AC135" s="47"/>
      <c r="AD135" s="47">
        <f t="shared" ref="AD135:AV135" si="174">AD20+AD60+AD93+AD113+AD133</f>
        <v>193150942</v>
      </c>
      <c r="AE135" s="47">
        <f t="shared" si="174"/>
        <v>8619316167</v>
      </c>
      <c r="AF135" s="47">
        <f t="shared" si="174"/>
        <v>149170600</v>
      </c>
      <c r="AG135" s="47">
        <f t="shared" si="174"/>
        <v>2322982287</v>
      </c>
      <c r="AH135" s="47">
        <f t="shared" si="174"/>
        <v>126368270</v>
      </c>
      <c r="AI135" s="47">
        <f t="shared" si="174"/>
        <v>0</v>
      </c>
      <c r="AJ135" s="47">
        <f t="shared" si="174"/>
        <v>0</v>
      </c>
      <c r="AK135" s="47">
        <f t="shared" si="174"/>
        <v>0</v>
      </c>
      <c r="AL135" s="47">
        <f t="shared" si="174"/>
        <v>3438802</v>
      </c>
      <c r="AM135" s="47">
        <f t="shared" si="174"/>
        <v>169852012</v>
      </c>
      <c r="AN135" s="47">
        <f t="shared" si="174"/>
        <v>1917215673</v>
      </c>
      <c r="AO135" s="47">
        <f t="shared" si="174"/>
        <v>1111858722</v>
      </c>
      <c r="AP135" s="47">
        <f t="shared" si="174"/>
        <v>453711667</v>
      </c>
      <c r="AQ135" s="47">
        <f t="shared" si="174"/>
        <v>1225177858</v>
      </c>
      <c r="AR135" s="47">
        <f t="shared" si="174"/>
        <v>1205496037</v>
      </c>
      <c r="AS135" s="47">
        <f t="shared" si="174"/>
        <v>85302101</v>
      </c>
      <c r="AT135" s="47">
        <f t="shared" si="174"/>
        <v>2032628341</v>
      </c>
      <c r="AU135" s="47">
        <f t="shared" si="174"/>
        <v>111779461</v>
      </c>
      <c r="AV135" s="47">
        <f t="shared" si="174"/>
        <v>1377247523</v>
      </c>
      <c r="AW135" s="108">
        <f>1-AA135</f>
        <v>0.16498880016960171</v>
      </c>
      <c r="AX135" s="47">
        <f t="shared" ref="AX135:BQ135" si="175">AX20+AX60+AX93+AX113+AX133</f>
        <v>4170050112</v>
      </c>
      <c r="AY135" s="47">
        <f t="shared" si="175"/>
        <v>6849058</v>
      </c>
      <c r="AZ135" s="47">
        <f t="shared" si="175"/>
        <v>1904776932</v>
      </c>
      <c r="BA135" s="47">
        <f t="shared" si="175"/>
        <v>21832727</v>
      </c>
      <c r="BB135" s="47">
        <f t="shared" si="175"/>
        <v>278034610</v>
      </c>
      <c r="BC135" s="47">
        <f t="shared" si="175"/>
        <v>12004716</v>
      </c>
      <c r="BD135" s="47">
        <f t="shared" si="175"/>
        <v>54387</v>
      </c>
      <c r="BE135" s="47">
        <f t="shared" si="175"/>
        <v>30665828</v>
      </c>
      <c r="BF135" s="47">
        <f t="shared" si="175"/>
        <v>1940856</v>
      </c>
      <c r="BG135" s="47">
        <f t="shared" si="175"/>
        <v>0</v>
      </c>
      <c r="BH135" s="47">
        <f t="shared" si="175"/>
        <v>176089445</v>
      </c>
      <c r="BI135" s="47">
        <f t="shared" si="175"/>
        <v>439407176</v>
      </c>
      <c r="BJ135" s="47">
        <f t="shared" si="175"/>
        <v>30170901</v>
      </c>
      <c r="BK135" s="47">
        <f t="shared" si="175"/>
        <v>33084973</v>
      </c>
      <c r="BL135" s="47">
        <f t="shared" si="175"/>
        <v>80898907</v>
      </c>
      <c r="BM135" s="47">
        <f t="shared" si="175"/>
        <v>57055620</v>
      </c>
      <c r="BN135" s="47">
        <f t="shared" si="175"/>
        <v>16668158</v>
      </c>
      <c r="BO135" s="47">
        <f t="shared" si="175"/>
        <v>667371659</v>
      </c>
      <c r="BP135" s="47">
        <f t="shared" si="175"/>
        <v>92962375</v>
      </c>
      <c r="BQ135" s="47">
        <f t="shared" si="175"/>
        <v>320181784</v>
      </c>
      <c r="BR135" s="108">
        <f>+BS135/G135</f>
        <v>0.83501119983039829</v>
      </c>
      <c r="BS135" s="47">
        <f t="shared" ref="BS135:CM135" si="176">BS20+BS60+BS93+BS113+BS133</f>
        <v>21104696463</v>
      </c>
      <c r="BT135" s="47">
        <f t="shared" si="176"/>
        <v>0</v>
      </c>
      <c r="BU135" s="47">
        <f t="shared" si="176"/>
        <v>193150942</v>
      </c>
      <c r="BV135" s="47">
        <f t="shared" si="176"/>
        <v>8619316167</v>
      </c>
      <c r="BW135" s="47">
        <f t="shared" si="176"/>
        <v>149170600</v>
      </c>
      <c r="BX135" s="47">
        <f t="shared" si="176"/>
        <v>2322982287</v>
      </c>
      <c r="BY135" s="47">
        <f t="shared" si="176"/>
        <v>126368270</v>
      </c>
      <c r="BZ135" s="47">
        <f t="shared" si="176"/>
        <v>0</v>
      </c>
      <c r="CA135" s="47">
        <f t="shared" si="176"/>
        <v>0</v>
      </c>
      <c r="CB135" s="47">
        <f t="shared" si="176"/>
        <v>0</v>
      </c>
      <c r="CC135" s="47">
        <f t="shared" si="176"/>
        <v>3438802</v>
      </c>
      <c r="CD135" s="47">
        <f t="shared" si="176"/>
        <v>169852012</v>
      </c>
      <c r="CE135" s="47">
        <f t="shared" si="176"/>
        <v>1917215673</v>
      </c>
      <c r="CF135" s="47">
        <f t="shared" si="176"/>
        <v>1111858722</v>
      </c>
      <c r="CG135" s="47">
        <f t="shared" si="176"/>
        <v>453711667</v>
      </c>
      <c r="CH135" s="47">
        <f t="shared" si="176"/>
        <v>1225177858</v>
      </c>
      <c r="CI135" s="47">
        <f t="shared" si="176"/>
        <v>1205496037</v>
      </c>
      <c r="CJ135" s="47">
        <f t="shared" si="176"/>
        <v>85302101</v>
      </c>
      <c r="CK135" s="47">
        <f t="shared" si="176"/>
        <v>2032628341</v>
      </c>
      <c r="CL135" s="47">
        <f t="shared" si="176"/>
        <v>111779461</v>
      </c>
      <c r="CM135" s="47">
        <f t="shared" si="176"/>
        <v>1377247523</v>
      </c>
      <c r="CN135" s="25">
        <f>1-BR135</f>
        <v>0.16498880016960171</v>
      </c>
      <c r="CO135" s="47">
        <f t="shared" ref="CO135:DH135" si="177">CO20+CO60+CO93+CO113+CO133</f>
        <v>4170050112</v>
      </c>
      <c r="CP135" s="47">
        <f t="shared" si="177"/>
        <v>6849058</v>
      </c>
      <c r="CQ135" s="47">
        <f t="shared" si="177"/>
        <v>1904776932</v>
      </c>
      <c r="CR135" s="47">
        <f t="shared" si="177"/>
        <v>21832727</v>
      </c>
      <c r="CS135" s="47">
        <f t="shared" si="177"/>
        <v>278034610</v>
      </c>
      <c r="CT135" s="47">
        <f t="shared" si="177"/>
        <v>12004716</v>
      </c>
      <c r="CU135" s="47">
        <f t="shared" si="177"/>
        <v>54387</v>
      </c>
      <c r="CV135" s="47">
        <f t="shared" si="177"/>
        <v>30665828</v>
      </c>
      <c r="CW135" s="47">
        <f t="shared" si="177"/>
        <v>1940856</v>
      </c>
      <c r="CX135" s="47">
        <f t="shared" si="177"/>
        <v>0</v>
      </c>
      <c r="CY135" s="47">
        <f t="shared" si="177"/>
        <v>176089445</v>
      </c>
      <c r="CZ135" s="47">
        <f t="shared" si="177"/>
        <v>439407176</v>
      </c>
      <c r="DA135" s="47">
        <f t="shared" si="177"/>
        <v>30170901</v>
      </c>
      <c r="DB135" s="47">
        <f t="shared" si="177"/>
        <v>33084973</v>
      </c>
      <c r="DC135" s="47">
        <f t="shared" si="177"/>
        <v>80898907</v>
      </c>
      <c r="DD135" s="47">
        <f t="shared" si="177"/>
        <v>57055620</v>
      </c>
      <c r="DE135" s="47">
        <f t="shared" si="177"/>
        <v>16668158</v>
      </c>
      <c r="DF135" s="47">
        <f t="shared" si="177"/>
        <v>667371659</v>
      </c>
      <c r="DG135" s="47">
        <f t="shared" si="177"/>
        <v>92962375</v>
      </c>
      <c r="DH135" s="47">
        <f t="shared" si="177"/>
        <v>320181784</v>
      </c>
      <c r="DJ135" s="29">
        <f t="shared" si="167"/>
        <v>25274746575</v>
      </c>
      <c r="DK135" s="29">
        <f t="shared" si="96"/>
        <v>25274746575</v>
      </c>
      <c r="DL135" s="29">
        <f t="shared" si="97"/>
        <v>25274746575</v>
      </c>
    </row>
    <row r="136" spans="1:116" ht="5.25" customHeight="1" x14ac:dyDescent="0.25">
      <c r="C136" s="109"/>
      <c r="D136" s="109"/>
      <c r="E136" s="110"/>
      <c r="F136" s="110"/>
      <c r="G136" s="111"/>
      <c r="H136" s="111"/>
      <c r="I136" s="112"/>
      <c r="J136" s="111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4"/>
      <c r="AB136" s="115"/>
      <c r="AC136" s="115"/>
      <c r="AD136" s="115"/>
      <c r="AE136" s="115"/>
      <c r="AF136" s="115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4"/>
      <c r="AX136" s="115"/>
      <c r="AY136" s="115"/>
      <c r="AZ136" s="115"/>
      <c r="BA136" s="115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4"/>
      <c r="BS136" s="117"/>
      <c r="BT136" s="118"/>
      <c r="BU136" s="118"/>
      <c r="BV136" s="118"/>
      <c r="BW136" s="118"/>
      <c r="BX136" s="113"/>
      <c r="BY136" s="113"/>
      <c r="BZ136" s="113"/>
      <c r="CA136" s="113"/>
      <c r="CB136" s="113"/>
      <c r="CC136" s="113"/>
      <c r="CD136" s="113"/>
      <c r="CE136" s="113"/>
      <c r="CF136" s="113"/>
      <c r="CG136" s="113"/>
      <c r="CH136" s="113"/>
      <c r="CI136" s="113"/>
      <c r="CJ136" s="113"/>
      <c r="CK136" s="113"/>
      <c r="CL136" s="113"/>
      <c r="CM136" s="113"/>
      <c r="CN136" s="25"/>
      <c r="CO136" s="119"/>
      <c r="CP136" s="115"/>
      <c r="CQ136" s="115"/>
      <c r="CR136" s="115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  <c r="DJ136" s="29"/>
      <c r="DK136" s="29"/>
      <c r="DL136" s="29"/>
    </row>
    <row r="137" spans="1:116" ht="16.5" customHeight="1" x14ac:dyDescent="0.25">
      <c r="C137" s="120"/>
      <c r="D137" s="121" t="s">
        <v>373</v>
      </c>
      <c r="E137" s="114">
        <v>111</v>
      </c>
      <c r="F137" s="122"/>
      <c r="G137" s="123">
        <f>SUMIF($E$4:$E$132,"111",$G$4:$G$132)</f>
        <v>4844937690</v>
      </c>
      <c r="H137" s="124">
        <f>SUMIF($E$4:$E$133,"111",$H$4:$H$133)</f>
        <v>0</v>
      </c>
      <c r="I137" s="124">
        <f>SUMIF($E$4:$E$133,"111",$I$4:$I$133)</f>
        <v>4130647071</v>
      </c>
      <c r="J137" s="123">
        <f>SUMIF($E$4:$E$132,"111",$J$4:$J$132)</f>
        <v>171003327</v>
      </c>
      <c r="K137" s="122">
        <f>SUMIF($E$4:$E$133,"111",$K$4:$K$133)</f>
        <v>0</v>
      </c>
      <c r="L137" s="122">
        <f>SUMIF($E$4:$E$132,"111",$L$4:$L$132)</f>
        <v>0</v>
      </c>
      <c r="M137" s="122">
        <f>SUMIF($E$4:$E$132,"111",$M$4:$M$132)</f>
        <v>54387</v>
      </c>
      <c r="N137" s="122">
        <f>SUMIF($E$4:$E$132,"111",$N$4:$N$132)</f>
        <v>30665828</v>
      </c>
      <c r="O137" s="122">
        <f>SUMIF($E$4:$E$132,"111",$O$4:$O$132)</f>
        <v>1940856</v>
      </c>
      <c r="P137" s="122">
        <f>SUMIF($E$4:$E$132,"111",$P$4:$P$132)</f>
        <v>3438802</v>
      </c>
      <c r="Q137" s="122">
        <f>SUMIF($E$4:$E$132,"111",$Q$4:$Q$132)</f>
        <v>250509069</v>
      </c>
      <c r="R137" s="122">
        <f>SUMIF($E$4:$E$132,"111",$R$4:$R$132)</f>
        <v>0</v>
      </c>
      <c r="S137" s="122">
        <f>SUMIF($E$4:$E$132,"111",$S$4:$S$132)</f>
        <v>0</v>
      </c>
      <c r="T137" s="122">
        <f>SUMIF($E$4:$E$132,"111",$T$4:$T$132)</f>
        <v>0</v>
      </c>
      <c r="U137" s="122">
        <f>SUMIF($E$4:$E$132,"111",$U$4:$U$132)</f>
        <v>0</v>
      </c>
      <c r="V137" s="122">
        <f>SUMIF($E$4:$E$132,"111",$V$4:$V$132)</f>
        <v>0</v>
      </c>
      <c r="W137" s="122"/>
      <c r="X137" s="122">
        <f>SUMIF($E$4:$E$132,"111",$X$4:$X$132)</f>
        <v>0</v>
      </c>
      <c r="Y137" s="122">
        <f>SUMIF($E$4:$E$132,"111",$Y$4:$Y$132)</f>
        <v>0</v>
      </c>
      <c r="Z137" s="122">
        <f>SUMIF($E$4:$E$132,"111",$Z$4:$Z$132)</f>
        <v>256678350</v>
      </c>
      <c r="AA137" s="125">
        <f t="shared" ref="AA137:AA146" si="178">+AB137/G137</f>
        <v>0.78845668642644606</v>
      </c>
      <c r="AB137" s="28">
        <f t="shared" ref="AB137:AB142" si="179">SUM(AD137:AV137)</f>
        <v>3820023517</v>
      </c>
      <c r="AC137" s="123">
        <f>SUMIF($E$4:$E$132,"111",$AC$4:$AC$132)</f>
        <v>0</v>
      </c>
      <c r="AD137" s="123">
        <f>SUMIF($E$4:$E$132,"111",$AD$4:$AD$132)</f>
        <v>0</v>
      </c>
      <c r="AE137" s="123">
        <f>SUMIF($E$4:$E$132,"111",$AE$4:$AE$132)</f>
        <v>3454613624</v>
      </c>
      <c r="AF137" s="123">
        <f>SUMIF($E$4:$E$132,"111",$AF$4:$AF$132)</f>
        <v>149170600</v>
      </c>
      <c r="AG137" s="123">
        <f>SUMIF($E$4:$E$132,"111",$AG$4:$AG$132)</f>
        <v>0</v>
      </c>
      <c r="AH137" s="123">
        <f>SUMIF($E$4:$E$132,"111",$AH$4:$AH$132)</f>
        <v>0</v>
      </c>
      <c r="AI137" s="123">
        <f>SUMIF($E$4:$E$132,"111",$AI$4:$AI$132)</f>
        <v>0</v>
      </c>
      <c r="AJ137" s="123">
        <f>SUMIF($E$4:$E$132,"111",$AJ$4:$AJ$132)</f>
        <v>0</v>
      </c>
      <c r="AK137" s="123">
        <f>SUMIF($E$4:$E$132,"111",$AK$4:$AK$132)</f>
        <v>0</v>
      </c>
      <c r="AL137" s="123">
        <f>SUMIF($E$4:$E$132,"111",$AL$4:$AL$132)</f>
        <v>3438802</v>
      </c>
      <c r="AM137" s="123">
        <f>SUMIF($E$4:$E$132,"111",$AM$4:$AM$132)</f>
        <v>84852012</v>
      </c>
      <c r="AN137" s="123">
        <f>SUMIF($E$4:$E$132,"111",$AN$4:$AN$132)</f>
        <v>0</v>
      </c>
      <c r="AO137" s="123">
        <f>SUMIF($E$4:$E$132,"111",$AO$4:$AO$132)</f>
        <v>0</v>
      </c>
      <c r="AP137" s="123">
        <f>SUMIF($E$4:$E$132,"111",$AP$4:$AP$132)</f>
        <v>0</v>
      </c>
      <c r="AQ137" s="123">
        <f>SUMIF($E$4:$E$132,"111",$AQ$4:$AQ$132)</f>
        <v>0</v>
      </c>
      <c r="AR137" s="123">
        <f>SUMIF($E$4:$E$132,"111",$AQ$4:$AQ$132)</f>
        <v>0</v>
      </c>
      <c r="AS137" s="123">
        <f>SUMIF($E$4:$E$132,"111",$AS$4:$AS$132)</f>
        <v>0</v>
      </c>
      <c r="AT137" s="123">
        <f>SUMIF($E$4:$E$132,"111",$AT$4:$AT$132)</f>
        <v>0</v>
      </c>
      <c r="AU137" s="123">
        <f>SUMIF($E$4:$E$132,"111",$AU$4:$AU$132)</f>
        <v>0</v>
      </c>
      <c r="AV137" s="123">
        <f>SUMIF($E$4:$E$132,"111",$AV$4:$AV$132)</f>
        <v>127948479</v>
      </c>
      <c r="AW137" s="108">
        <f t="shared" ref="AW137:AW146" si="180">1-AA137</f>
        <v>0.21154331357355394</v>
      </c>
      <c r="AX137" s="28">
        <f t="shared" ref="AX137:AX143" si="181">SUM(AY137:BQ137)</f>
        <v>1024914173</v>
      </c>
      <c r="AY137" s="126">
        <f>SUMIF($E$4:$E$132,"111",$AY$4:$AY$132)</f>
        <v>0</v>
      </c>
      <c r="AZ137" s="126">
        <f>SUMIF($E$4:$E$132,"111",$AZ$4:$AZ$132)</f>
        <v>676033447</v>
      </c>
      <c r="BA137" s="126">
        <f>SUMIF($E$4:$E$132,"111",$BA$4:$BA$132)</f>
        <v>21832727</v>
      </c>
      <c r="BB137" s="126">
        <f>SUMIF($E$4:$E$132,"111",$BB$4:$BB$132)</f>
        <v>0</v>
      </c>
      <c r="BC137" s="126">
        <f>SUMIF($E$4:$E$132,"111",$BC$4:$BC$132)</f>
        <v>0</v>
      </c>
      <c r="BD137" s="126">
        <f>SUMIF($E$4:$E$132,"111",$BD$4:$BD$132)</f>
        <v>54387</v>
      </c>
      <c r="BE137" s="126">
        <f>SUMIF($E$4:$E$133,"111",$BE$4:$BE$133)</f>
        <v>30665828</v>
      </c>
      <c r="BF137" s="126">
        <f>SUMIF($E$4:$E$132,"111",$BF$4:$BF$132)</f>
        <v>1940856</v>
      </c>
      <c r="BG137" s="126">
        <f>SUMIF($E$4:$E$132,"111",$BG$4:$BG$132)</f>
        <v>0</v>
      </c>
      <c r="BH137" s="126">
        <f>SUMIF($E$4:$E$132,"111",$BH$4:$BH$132)</f>
        <v>165657057</v>
      </c>
      <c r="BI137" s="126">
        <f>SUMIF($E$4:$E$132,"111",$BI$4:$BI$132)</f>
        <v>0</v>
      </c>
      <c r="BJ137" s="126">
        <f>SUMIF($E$4:$E$132,"111",$BJ$4:$BJ$132)</f>
        <v>0</v>
      </c>
      <c r="BK137" s="126">
        <f>SUMIF($E$4:$E$132,"111",$BK$4:$BK$132)</f>
        <v>0</v>
      </c>
      <c r="BL137" s="126">
        <f>SUMIF($E$4:$E$132,"111",$BL$4:$BL$132)</f>
        <v>0</v>
      </c>
      <c r="BM137" s="126">
        <f>SUMIF($E$4:$E$132,"111",$BM$4:$BM$132)</f>
        <v>0</v>
      </c>
      <c r="BN137" s="126"/>
      <c r="BO137" s="126">
        <f>SUMIF($E$4:$E$132,"111",$BO$4:$BO$132)</f>
        <v>0</v>
      </c>
      <c r="BP137" s="126">
        <f>SUMIF($E$4:$E$132,"111",$BP$4:$BP$132)</f>
        <v>0</v>
      </c>
      <c r="BQ137" s="127">
        <f>SUMIF($E$4:$E$132,"111",$BQ$4:$BQ$132)</f>
        <v>128729871</v>
      </c>
      <c r="BR137" s="128">
        <f t="shared" ref="BR137:BR146" si="182">+BS137/G137</f>
        <v>0.78845668642644606</v>
      </c>
      <c r="BS137" s="33">
        <f t="shared" ref="BS137:BS142" si="183">SUM(BU137:CM137)</f>
        <v>3820023517</v>
      </c>
      <c r="BT137" s="123">
        <f>SUMIF($E$4:$E$132,"111",$BT$4:$BT$132)</f>
        <v>0</v>
      </c>
      <c r="BU137" s="123">
        <f>SUMIF($E$4:$E$132,"111",$BU$4:$BU$132)</f>
        <v>0</v>
      </c>
      <c r="BV137" s="123">
        <f>SUMIF($E$4:$E$132,"111",$BV$4:$BV$132)</f>
        <v>3454613624</v>
      </c>
      <c r="BW137" s="123">
        <f>SUMIF($E$4:$E$132,"111",$BW$4:$BW$132)</f>
        <v>149170600</v>
      </c>
      <c r="BX137" s="123">
        <f>SUMIF($E$4:$E$132,"111",$BX$4:$BX$132)</f>
        <v>0</v>
      </c>
      <c r="BY137" s="123">
        <f>SUMIF($E$4:$E$132,"111",$BY$4:$BY$132)</f>
        <v>0</v>
      </c>
      <c r="BZ137" s="123">
        <f>SUMIF($E$4:$E$132,"111",$BZ$4:$BZ$132)</f>
        <v>0</v>
      </c>
      <c r="CA137" s="123">
        <f>SUMIF($E$4:$E$132,"111",$CA$4:$CA$132)</f>
        <v>0</v>
      </c>
      <c r="CB137" s="123">
        <f>SUMIF($E$4:$E$132,"111",$CB$4:$CB$132)</f>
        <v>0</v>
      </c>
      <c r="CC137" s="123">
        <f>SUMIF($E$4:$E$132,"111",$CC$4:$CC$132)</f>
        <v>3438802</v>
      </c>
      <c r="CD137" s="123">
        <f>SUMIF($E$4:$E$132,"111",$CD$4:$CD$132)</f>
        <v>84852012</v>
      </c>
      <c r="CE137" s="123">
        <f>SUMIF($E$4:$E$132,"111",$CE$4:$CE$132)</f>
        <v>0</v>
      </c>
      <c r="CF137" s="123">
        <f>SUMIF($E$4:$E$132,"111",$CF$4:$CF$132)</f>
        <v>0</v>
      </c>
      <c r="CG137" s="123">
        <f>SUMIF($E$4:$E$132,"111",$CG$4:$CG$132)</f>
        <v>0</v>
      </c>
      <c r="CH137" s="123">
        <f>SUMIF($E$4:$E$132,"111",$CH$4:$CH$132)</f>
        <v>0</v>
      </c>
      <c r="CI137" s="123">
        <f>SUMIF($E$4:$E$132,"111",$CI$4:$CI$132)</f>
        <v>0</v>
      </c>
      <c r="CJ137" s="123">
        <f>SUMIF($E$4:$E$132,"111",$CJ$4:$CJ$132)</f>
        <v>0</v>
      </c>
      <c r="CK137" s="123">
        <f>SUMIF($E$4:$E$132,"111",$CK$4:$CK$132)</f>
        <v>0</v>
      </c>
      <c r="CL137" s="123">
        <f>SUMIF($E$4:$E$132,"111",$CL$4:$CL$132)</f>
        <v>0</v>
      </c>
      <c r="CM137" s="129">
        <f>SUMIF($E$4:$E$132,"111",$CM$4:$CM$132)</f>
        <v>127948479</v>
      </c>
      <c r="CN137" s="25">
        <f t="shared" ref="CN137:CN146" si="184">1-BR137</f>
        <v>0.21154331357355394</v>
      </c>
      <c r="CO137" s="28">
        <f t="shared" ref="CO137:CO143" si="185">SUM(CP137:DH137)</f>
        <v>1024914173</v>
      </c>
      <c r="CP137" s="126">
        <f>SUMIF($E$4:$E$132,"111",$CP$4:$CP$132)</f>
        <v>0</v>
      </c>
      <c r="CQ137" s="126">
        <f>SUMIF($E$4:$E$132,"111",$CQ$4:$CQ$132)</f>
        <v>676033447</v>
      </c>
      <c r="CR137" s="126">
        <f>SUMIF($E$4:$E$132,"111",$CR$4:$CR$132)</f>
        <v>21832727</v>
      </c>
      <c r="CS137" s="126">
        <f>SUMIF($E$4:$E$132,"111",$CS$4:$CS$132)</f>
        <v>0</v>
      </c>
      <c r="CT137" s="126">
        <f>SUMIF($E$4:$E$132,"111",$CT$4:$CT$132)</f>
        <v>0</v>
      </c>
      <c r="CU137" s="126">
        <f>SUMIF($E$4:$E$132,"111",$CU$4:$CU$132)</f>
        <v>54387</v>
      </c>
      <c r="CV137" s="130">
        <f>SUMIF($E$4:$E$132,"111",$CV$4:$CV$132)</f>
        <v>30665828</v>
      </c>
      <c r="CW137" s="130">
        <f>SUMIF($E$4:$E$132,"111",$CW$4:$CW$132)</f>
        <v>1940856</v>
      </c>
      <c r="CX137" s="130">
        <f>SUMIF($E$4:$E$132,"111",$CX$4:$CX$132)</f>
        <v>0</v>
      </c>
      <c r="CY137" s="130">
        <f>SUMIF($E$4:$E$132,"111",$CY$4:$CY$132)</f>
        <v>165657057</v>
      </c>
      <c r="CZ137" s="130">
        <f>SUMIF($E$4:$E$132,"111",$CZ$4:$CZ$132)</f>
        <v>0</v>
      </c>
      <c r="DA137" s="130">
        <f>SUMIF($E$4:$E$132,"111",$DA$4:$DA$132)</f>
        <v>0</v>
      </c>
      <c r="DB137" s="130">
        <f>SUMIF($E$4:$E$132,"111",$DB$4:$DB$132)</f>
        <v>0</v>
      </c>
      <c r="DC137" s="130">
        <f>SUMIF($E$4:$E$132,"111",$DC$4:$DC$132)</f>
        <v>0</v>
      </c>
      <c r="DD137" s="130">
        <f>SUMIF($E$4:$E$132,"111",$DD$4:$DD$132)</f>
        <v>0</v>
      </c>
      <c r="DE137" s="130">
        <f>SUMIF($E$4:$E$132,"111",$DE$4:$DE$132)</f>
        <v>0</v>
      </c>
      <c r="DF137" s="130">
        <f>SUMIF($E$4:$E$132,"111",$DF$4:$DF$132)</f>
        <v>0</v>
      </c>
      <c r="DG137" s="130">
        <f>SUMIF($E$4:$E$132,"111",$DG$4:$DG$132)</f>
        <v>0</v>
      </c>
      <c r="DH137" s="130">
        <f>SUMIF($E$4:$E$132,"111",$DH$4:$DH$132)</f>
        <v>128729871</v>
      </c>
      <c r="DJ137" s="29">
        <f t="shared" si="167"/>
        <v>4844937690</v>
      </c>
      <c r="DK137" s="29">
        <f t="shared" ref="DK137:DK146" si="186">+AB137+AX137</f>
        <v>4844937690</v>
      </c>
      <c r="DL137" s="29">
        <f t="shared" ref="DL137:DL146" si="187">+BS137+CO137</f>
        <v>4844937690</v>
      </c>
    </row>
    <row r="138" spans="1:116" ht="18" customHeight="1" x14ac:dyDescent="0.25">
      <c r="C138" s="131"/>
      <c r="D138" s="121" t="s">
        <v>374</v>
      </c>
      <c r="E138" s="114">
        <v>211</v>
      </c>
      <c r="F138" s="122"/>
      <c r="G138" s="123">
        <f>SUMIF($E$4:$E$132,"211",$G$4:$G$132)</f>
        <v>4027310612</v>
      </c>
      <c r="H138" s="124">
        <f>SUMIF($E$4:$E$133,"211",$H$4:$H$133)</f>
        <v>0</v>
      </c>
      <c r="I138" s="124">
        <f>SUMIF($E$4:$E$133,"211",$I$4:$I$133)</f>
        <v>3227181237</v>
      </c>
      <c r="J138" s="123">
        <f>SUMIF($E$4:$E$132,"211",$J$4:$J$132)</f>
        <v>0</v>
      </c>
      <c r="K138" s="122">
        <f>SUMIF($E$4:$E$132,"211",$K$4:$K$132)</f>
        <v>0</v>
      </c>
      <c r="L138" s="122">
        <f>SUMIF($E$4:$E$132,"211",$L$4:$L$132)</f>
        <v>0</v>
      </c>
      <c r="M138" s="122">
        <f>SUMIF($E$4:$E$132,"211",$M$4:$M$132)</f>
        <v>0</v>
      </c>
      <c r="N138" s="122">
        <f>SUMIF($E$4:$E$132,"211",$N$4:$N$132)</f>
        <v>0</v>
      </c>
      <c r="O138" s="122">
        <f>SUMIF($E$4:$E$132,"211",$O$4:$O$132)</f>
        <v>0</v>
      </c>
      <c r="P138" s="122">
        <f>SUMIF($E$4:$E$132,"211",$P$4:$P$132)</f>
        <v>0</v>
      </c>
      <c r="Q138" s="122">
        <f>SUMIF($E$4:$E$132,"211",$Q$4:$Q$132)</f>
        <v>95432388</v>
      </c>
      <c r="R138" s="122">
        <f>SUMIF($E$4:$E$132,"211",$R$4:$R$132)</f>
        <v>0</v>
      </c>
      <c r="S138" s="122">
        <f>SUMIF($E$4:$E$132,"211",$S$4:$S$132)</f>
        <v>380000000</v>
      </c>
      <c r="T138" s="122">
        <f>SUMIF($E$4:$E$132,"211",$T$4:$T$132)</f>
        <v>0</v>
      </c>
      <c r="U138" s="122">
        <f>SUMIF($E$4:$E$132,"211",$U$4:$U$132)</f>
        <v>0</v>
      </c>
      <c r="V138" s="122">
        <f>SUMIF($E$4:$E$132,"211",$V$4:$V$132)</f>
        <v>0</v>
      </c>
      <c r="W138" s="122"/>
      <c r="X138" s="122">
        <f>SUMIF($E$4:$E$132,"211",$X$4:$X$132)</f>
        <v>0</v>
      </c>
      <c r="Y138" s="122">
        <f>SUMIF($E$4:$E$132,"211",$Y$4:$Y$132)</f>
        <v>0</v>
      </c>
      <c r="Z138" s="122">
        <f>SUMIF($E$4:$E$132,"211",$Z$4:$Z$132)</f>
        <v>324696987</v>
      </c>
      <c r="AA138" s="125">
        <f t="shared" si="178"/>
        <v>0.79677399886631839</v>
      </c>
      <c r="AB138" s="28">
        <f t="shared" si="179"/>
        <v>3208856381</v>
      </c>
      <c r="AC138" s="123">
        <f>SUMIF($E$4:$E$132,"211",$AC$4:$AC$132)</f>
        <v>0</v>
      </c>
      <c r="AD138" s="123">
        <f>SUMIF($E$4:$E$132,"211",$AD$4:$AD$132)</f>
        <v>0</v>
      </c>
      <c r="AE138" s="123">
        <f>SUMIF($E$4:$E$132,"211",$AE$4:$AE$132)</f>
        <v>2504949625</v>
      </c>
      <c r="AF138" s="123">
        <f>SUMIF($E$4:$E$132,"211",$AF$4:$AF$132)</f>
        <v>0</v>
      </c>
      <c r="AG138" s="123">
        <f>SUMIF($E$4:$E$132,"211",$AG$4:$AG$132)</f>
        <v>0</v>
      </c>
      <c r="AH138" s="123">
        <f>SUMIF($E$4:$E$132,"211",$AH$4:$AH$132)</f>
        <v>0</v>
      </c>
      <c r="AI138" s="123">
        <f>SUMIF($E$4:$E$132,"211",$AI$4:$AI$132)</f>
        <v>0</v>
      </c>
      <c r="AJ138" s="123">
        <f>SUMIF($E$4:$E$132,"211",$AJ$4:$AJ$132)</f>
        <v>0</v>
      </c>
      <c r="AK138" s="123">
        <f>SUMIF($E$4:$E$132,"211",$AK$4:$AK$132)</f>
        <v>0</v>
      </c>
      <c r="AL138" s="123">
        <f>SUMIF($E$4:$E$132,"211",$AL$4:$AL$132)</f>
        <v>0</v>
      </c>
      <c r="AM138" s="123">
        <f>SUMIF($E$4:$E$132,"211",$AM$4:$AM$132)</f>
        <v>85000000</v>
      </c>
      <c r="AN138" s="123">
        <f>SUMIF($E$4:$E$132,"211",$AN$4:$AN$132)</f>
        <v>0</v>
      </c>
      <c r="AO138" s="123">
        <f>SUMIF($E$4:$E$132,"211",$AO$4:$AO$132)</f>
        <v>373440367</v>
      </c>
      <c r="AP138" s="123">
        <f>SUMIF($E$4:$E$132,"211",$AP$4:$AP$132)</f>
        <v>0</v>
      </c>
      <c r="AQ138" s="123">
        <f>SUMIF($E$4:$E$132,"211",$AQ$4:$AQ$132)</f>
        <v>0</v>
      </c>
      <c r="AR138" s="123">
        <f>SUMIF($E$4:$E$132,"211",$AR$4:$AR$132)</f>
        <v>0</v>
      </c>
      <c r="AS138" s="123">
        <f>SUMIF($E$4:$E$132,"211",$AS$4:$AS$132)</f>
        <v>0</v>
      </c>
      <c r="AT138" s="123">
        <f>SUMIF($E$4:$E$132,"211",$AT$4:$AT$132)</f>
        <v>0</v>
      </c>
      <c r="AU138" s="123">
        <f>SUMIF($E$4:$E$132,"211",$AU$4:$AU$132)</f>
        <v>0</v>
      </c>
      <c r="AV138" s="123">
        <f>SUMIF($E$4:$E$132,"211",$AV$4:$AV$132)</f>
        <v>245466389</v>
      </c>
      <c r="AW138" s="108">
        <f t="shared" si="180"/>
        <v>0.20322600113368161</v>
      </c>
      <c r="AX138" s="28">
        <f t="shared" si="181"/>
        <v>818454231</v>
      </c>
      <c r="AY138" s="126">
        <f>SUMIF($E$4:$E$132,"211",$AY$4:$AY$132)</f>
        <v>0</v>
      </c>
      <c r="AZ138" s="126">
        <f>SUMIF($E$4:$E$132,"211",$AZ$4:$AZ$132)</f>
        <v>722231612</v>
      </c>
      <c r="BA138" s="126">
        <f>SUMIF($E$4:$E$132,"211",$BA$4:$BA$132)</f>
        <v>0</v>
      </c>
      <c r="BB138" s="126">
        <f>SUMIF($E$4:$E$132,"211",$BB$4:$BB$132)</f>
        <v>0</v>
      </c>
      <c r="BC138" s="126">
        <f>SUMIF($E$4:$E$132,"211",$BC$4:$BC$132)</f>
        <v>0</v>
      </c>
      <c r="BD138" s="126">
        <f>SUMIF($E$4:$E$132,"211",$BD$4:$BD$132)</f>
        <v>0</v>
      </c>
      <c r="BE138" s="126">
        <f>SUMIF($E$4:$E$132,"211",$BE$4:$BE$132)</f>
        <v>0</v>
      </c>
      <c r="BF138" s="126">
        <f>SUMIF($E$4:$E$132,"211",$BF$4:$BF$132)</f>
        <v>0</v>
      </c>
      <c r="BG138" s="126">
        <f>SUMIF($E$4:$E$132,"211",$BG$4:$BG$132)</f>
        <v>0</v>
      </c>
      <c r="BH138" s="126">
        <f>SUMIF($E$4:$E$132,"211",$BH$4:$BH$132)</f>
        <v>10432388</v>
      </c>
      <c r="BI138" s="126">
        <f>SUMIF($E$4:$E$132,"211",$BI$4:$BI$132)</f>
        <v>0</v>
      </c>
      <c r="BJ138" s="126">
        <f>SUMIF($E$4:$E$132,"211",$BJ$4:$BJ$132)</f>
        <v>6559633</v>
      </c>
      <c r="BK138" s="126">
        <f>SUMIF($E$4:$E$132,"211",$BK$4:$BK$132)</f>
        <v>0</v>
      </c>
      <c r="BL138" s="126">
        <f>SUMIF($E$4:$E$132,"211",$BL$4:$BL$132)</f>
        <v>0</v>
      </c>
      <c r="BM138" s="126">
        <f>SUMIF($E$4:$E$132,"211",$BM$4:$BM$132)</f>
        <v>0</v>
      </c>
      <c r="BN138" s="126"/>
      <c r="BO138" s="126">
        <f>SUMIF($E$4:$E$132,"211",$BO$4:$BO$132)</f>
        <v>0</v>
      </c>
      <c r="BP138" s="126">
        <f>SUMIF($E$4:$E$132,"211",$BP$4:$BP$132)</f>
        <v>0</v>
      </c>
      <c r="BQ138" s="127">
        <f>SUMIF($E$4:$E$132,"211",$BQ$4:$BQ$132)</f>
        <v>79230598</v>
      </c>
      <c r="BR138" s="128">
        <f t="shared" si="182"/>
        <v>0.79677399886631839</v>
      </c>
      <c r="BS138" s="33">
        <f t="shared" si="183"/>
        <v>3208856381</v>
      </c>
      <c r="BT138" s="123">
        <f>SUMIF($E$4:$E$132,"211",$BT$4:$BT$132)</f>
        <v>0</v>
      </c>
      <c r="BU138" s="123">
        <f>SUMIF($E$4:$E$132,"211",$BU$4:$BU$132)</f>
        <v>0</v>
      </c>
      <c r="BV138" s="123">
        <f>SUMIF($E$4:$E$132,"211",$BV$4:$BV$132)</f>
        <v>2504949625</v>
      </c>
      <c r="BW138" s="123">
        <f>SUMIF($E$4:$E$132,"211",$BW$4:$BW$132)</f>
        <v>0</v>
      </c>
      <c r="BX138" s="123">
        <f>SUMIF($E$4:$E$132,"211",$BX$4:$BX$132)</f>
        <v>0</v>
      </c>
      <c r="BY138" s="123">
        <f>SUMIF($E$4:$E$132,"211",$BY$4:$BY$132)</f>
        <v>0</v>
      </c>
      <c r="BZ138" s="123">
        <f>SUMIF($E$4:$E$132,"211",$BZ$4:$BZ$132)</f>
        <v>0</v>
      </c>
      <c r="CA138" s="123">
        <f>SUMIF($E$4:$E$132,"211",$CA$4:$CA$132)</f>
        <v>0</v>
      </c>
      <c r="CB138" s="123">
        <f>SUMIF($E$4:$E$132,"211",$CB$4:$CB$132)</f>
        <v>0</v>
      </c>
      <c r="CC138" s="123">
        <f>SUMIF($E$4:$E$132,"211",$CC$4:$CC$132)</f>
        <v>0</v>
      </c>
      <c r="CD138" s="123">
        <f>SUMIF($E$4:$E$132,"211",$CD$4:$CD$132)</f>
        <v>85000000</v>
      </c>
      <c r="CE138" s="123">
        <f>SUMIF($E$4:$E$132,"211",$CE$4:$CE$132)</f>
        <v>0</v>
      </c>
      <c r="CF138" s="123">
        <f>SUMIF($E$4:$E$132,"211",$CF$4:$CF$132)</f>
        <v>373440367</v>
      </c>
      <c r="CG138" s="123">
        <f>SUMIF($E$4:$E$132,"211",$CG$4:$CG$132)</f>
        <v>0</v>
      </c>
      <c r="CH138" s="123">
        <f>SUMIF($E$4:$E$132,"211",$CH$4:$CH$132)</f>
        <v>0</v>
      </c>
      <c r="CI138" s="123">
        <f>SUMIF($E$4:$E$132,"211",$CI$4:$CI$132)</f>
        <v>0</v>
      </c>
      <c r="CJ138" s="123">
        <f>SUMIF($E$4:$E$132,"211",$CJ$4:$CJ$132)</f>
        <v>0</v>
      </c>
      <c r="CK138" s="123">
        <f>SUMIF($E$4:$E$132,"211",$CK$4:$CK$132)</f>
        <v>0</v>
      </c>
      <c r="CL138" s="123">
        <f>SUMIF($E$4:$E$132,"211",$CL$4:$CL$132)</f>
        <v>0</v>
      </c>
      <c r="CM138" s="129">
        <f>SUMIF($E$4:$E$132,"211",$CM$4:$CM$132)</f>
        <v>245466389</v>
      </c>
      <c r="CN138" s="25">
        <f t="shared" si="184"/>
        <v>0.20322600113368161</v>
      </c>
      <c r="CO138" s="28">
        <f t="shared" ca="1" si="185"/>
        <v>818454231</v>
      </c>
      <c r="CP138" s="126">
        <f ca="1">SUMIF($E$4:$E$133,"211",$CP$4:$CP$132)</f>
        <v>0</v>
      </c>
      <c r="CQ138" s="126">
        <f>SUMIF($E$4:$E$132,"211",$CQ$4:$CQ$132)</f>
        <v>722231612</v>
      </c>
      <c r="CR138" s="126">
        <f>SUMIF($E$4:$E$132,"211",$CR$4:$CR$132)</f>
        <v>0</v>
      </c>
      <c r="CS138" s="126">
        <f>SUMIF($E$4:$E$132,"211",$CS$4:$CS$132)</f>
        <v>0</v>
      </c>
      <c r="CT138" s="126">
        <f>SUMIF($E$4:$E$132,"211",$CT$4:$CT$132)</f>
        <v>0</v>
      </c>
      <c r="CU138" s="126">
        <f>SUMIF($E$4:$E$132,"211",$CU$4:$CU$132)</f>
        <v>0</v>
      </c>
      <c r="CV138" s="130">
        <f>SUMIF($E$4:$E$132,"211",$CV$4:$CV$132)</f>
        <v>0</v>
      </c>
      <c r="CW138" s="130">
        <f>SUMIF($E$4:$E$132,"211",$CW$4:$CW$132)</f>
        <v>0</v>
      </c>
      <c r="CX138" s="130">
        <f>SUMIF($E$4:$E$132,"211",$CX$4:$CX$132)</f>
        <v>0</v>
      </c>
      <c r="CY138" s="130">
        <f>SUMIF($E$4:$E$132,"211",$CY$4:$CY$132)</f>
        <v>10432388</v>
      </c>
      <c r="CZ138" s="130">
        <f>SUMIF($E$4:$E$132,"211",$CZ$4:$CZ$132)</f>
        <v>0</v>
      </c>
      <c r="DA138" s="130">
        <f>SUMIF($E$4:$E$132,"211",$DA$4:$DA$132)</f>
        <v>6559633</v>
      </c>
      <c r="DB138" s="130">
        <f>SUMIF($E$4:$E$132,"211",$DB$4:$DB$132)</f>
        <v>0</v>
      </c>
      <c r="DC138" s="130">
        <f>SUMIF($E$4:$E$132,"211",$DC$4:$DC$132)</f>
        <v>0</v>
      </c>
      <c r="DD138" s="130">
        <f>SUMIF($E$4:$E$132,"211",$DD$4:$DD$132)</f>
        <v>0</v>
      </c>
      <c r="DE138" s="130">
        <f>SUMIF($E$4:$E$132,"211",$DE$4:$DE$132)</f>
        <v>0</v>
      </c>
      <c r="DF138" s="130">
        <f>SUMIF($E$4:$E$132,"211",$DF$4:$DF$132)</f>
        <v>0</v>
      </c>
      <c r="DG138" s="130">
        <f>SUMIF($E$4:$E$132,"211",$DG$4:$DG$132)</f>
        <v>0</v>
      </c>
      <c r="DH138" s="130">
        <f>SUMIF($E$4:$E$132,"211",$DH$4:$DH$132)</f>
        <v>79230598</v>
      </c>
      <c r="DJ138" s="29">
        <f t="shared" si="167"/>
        <v>4027310612</v>
      </c>
      <c r="DK138" s="29">
        <f t="shared" si="186"/>
        <v>4027310612</v>
      </c>
      <c r="DL138" s="29">
        <f t="shared" ca="1" si="187"/>
        <v>4027310612</v>
      </c>
    </row>
    <row r="139" spans="1:116" ht="16.5" customHeight="1" x14ac:dyDescent="0.25">
      <c r="C139" s="131"/>
      <c r="D139" s="121" t="s">
        <v>375</v>
      </c>
      <c r="E139" s="114">
        <v>310</v>
      </c>
      <c r="F139" s="122"/>
      <c r="G139" s="123">
        <f>SUMIF($E$4:$E$132,"310",$G$4:$G$133)</f>
        <v>1070346880</v>
      </c>
      <c r="H139" s="124">
        <f>SUMIF($E$4:$E$132,"310",$H$4:$H$132)</f>
        <v>0</v>
      </c>
      <c r="I139" s="124">
        <f>SUMIF($E$4:$E$132,"310",$I$4:$I$132)</f>
        <v>450000000</v>
      </c>
      <c r="J139" s="123">
        <f>SUMIF($E$4:$E$132,"310",$J$4:$J$132)</f>
        <v>0</v>
      </c>
      <c r="K139" s="122">
        <f>SUMIF($E$4:$E$132,"310",$K$4:$K$132)</f>
        <v>538368096</v>
      </c>
      <c r="L139" s="122">
        <f>SUMIF($E$4:$E$132,"310",$L$4:$L$132)</f>
        <v>0</v>
      </c>
      <c r="M139" s="122">
        <f>SUMIF($E$4:$E$132,"310",$M$4:$M$132)</f>
        <v>0</v>
      </c>
      <c r="N139" s="122">
        <f>SUMIF($E$4:$E$132,"310",$N$4:$N$132)</f>
        <v>0</v>
      </c>
      <c r="O139" s="122">
        <f>SUMIF($E$4:$E$132,"310",$O$4:$O$132)</f>
        <v>0</v>
      </c>
      <c r="P139" s="122">
        <f>SUMIF($E$4:$E$132,"310",$P$4:$P$132)</f>
        <v>0</v>
      </c>
      <c r="Q139" s="122">
        <f>SUMIF($E$4:$E$132,"310",$Q$4:$Q$132)</f>
        <v>0</v>
      </c>
      <c r="R139" s="122">
        <f>SUMIF($E$4:$E$132,"310",$R$4:$R$132)</f>
        <v>4978784</v>
      </c>
      <c r="S139" s="122">
        <f>SUMIF($E$4:$E$132,"310",$S$4:$S$132)</f>
        <v>0</v>
      </c>
      <c r="T139" s="122">
        <f>SUMIF($E$4:$E$132,"310",$T$4:$T$132)</f>
        <v>0</v>
      </c>
      <c r="U139" s="122">
        <f>SUMIF($E$4:$E$132,"310",$U$4:$U$132)</f>
        <v>0</v>
      </c>
      <c r="V139" s="122">
        <f>SUMIF($E$4:$E$124,"310",$V$4:$V$124)</f>
        <v>0</v>
      </c>
      <c r="W139" s="122"/>
      <c r="X139" s="122">
        <f>SUMIF($E$4:$E$132,"310",$X$4:$X$132)</f>
        <v>0</v>
      </c>
      <c r="Y139" s="122">
        <f>SUMIF($E$4:$E$132,"310",$Y$4:$Y$132)</f>
        <v>0</v>
      </c>
      <c r="Z139" s="122">
        <f>SUMIF($E$4:$E$132,"310",$Z$4:$Z$132)</f>
        <v>77000000</v>
      </c>
      <c r="AA139" s="125">
        <f t="shared" si="178"/>
        <v>0.65689658758102798</v>
      </c>
      <c r="AB139" s="33">
        <f t="shared" si="179"/>
        <v>703107213</v>
      </c>
      <c r="AC139" s="123">
        <f>SUMIF($E$4:$E$132,"310",$AC$4:$AC$132)</f>
        <v>0</v>
      </c>
      <c r="AD139" s="123">
        <f>SUMIF($E$4:$E$132,"310",$AD$4:$AD$132)</f>
        <v>0</v>
      </c>
      <c r="AE139" s="123">
        <f>SUMIF($E$4:$E$132,"310",$AE$4:$AE$132)</f>
        <v>240469377</v>
      </c>
      <c r="AF139" s="123">
        <f>SUMIF($E$4:$E$132,"310",$AF$4:$AF$132)</f>
        <v>0</v>
      </c>
      <c r="AG139" s="123">
        <f>SUMIF($E$4:$E$132,"310",$AG$4:$AG$132)</f>
        <v>410290420</v>
      </c>
      <c r="AH139" s="123">
        <f>SUMIF($E$4:$E$132,"310",$AH$4:$AH$132)</f>
        <v>0</v>
      </c>
      <c r="AI139" s="123">
        <f>SUMIF($E$4:$E$132,"310",$AI$4:$AI$132)</f>
        <v>0</v>
      </c>
      <c r="AJ139" s="123">
        <f>SUMIF($E$4:$E$132,"310",$AJ$4:$AJ$132)</f>
        <v>0</v>
      </c>
      <c r="AK139" s="123">
        <f>SUMIF($E$4:$E$132,"310",$AK$4:$AK$132)</f>
        <v>0</v>
      </c>
      <c r="AL139" s="123">
        <f>SUMIF($E$4:$E$132,"310",$AL$4:$AL$132)</f>
        <v>0</v>
      </c>
      <c r="AM139" s="123">
        <f>SUMIF($E$4:$E$132,"310",$AM$4:$AM$132)</f>
        <v>0</v>
      </c>
      <c r="AN139" s="123">
        <f>SUMIF($E$4:$E$132,"310",$AN$4:$AN$132)</f>
        <v>0</v>
      </c>
      <c r="AO139" s="123">
        <f>SUMIF($E$4:$E$132,"310",$AO$4:$AO$132)</f>
        <v>0</v>
      </c>
      <c r="AP139" s="123">
        <f>SUMIF($E$4:$E$132,"310",$AP$4:$AP$132)</f>
        <v>0</v>
      </c>
      <c r="AQ139" s="123">
        <f>SUMIF($E$4:$E$132,"310",$AQ$4:$AQ$132)</f>
        <v>0</v>
      </c>
      <c r="AR139" s="123">
        <f>SUMIF($E$4:$E$132,"310",$AR$4:$AR$132)</f>
        <v>0</v>
      </c>
      <c r="AS139" s="123">
        <f>SUMIF($E$4:$E$132,"310",$AS$4:$AS$132)</f>
        <v>0</v>
      </c>
      <c r="AT139" s="123">
        <f>SUMIF($E$4:$E$132,"310",$AT$4:$AT$132)</f>
        <v>0</v>
      </c>
      <c r="AU139" s="123">
        <f>SUMIF($E$4:$E$132,"310",$AU$4:$AU$132)</f>
        <v>0</v>
      </c>
      <c r="AV139" s="123">
        <f>SUMIF($E$4:$E$132,"310",$AV$4:$AV$132)</f>
        <v>52347416</v>
      </c>
      <c r="AW139" s="108">
        <f t="shared" si="180"/>
        <v>0.34310341241897202</v>
      </c>
      <c r="AX139" s="28">
        <f t="shared" si="181"/>
        <v>367239667</v>
      </c>
      <c r="AY139" s="126">
        <f>SUMIF($E$4:$E$132,"310",$AY$4:$AY$132)</f>
        <v>0</v>
      </c>
      <c r="AZ139" s="126">
        <f>SUMIF($E$4:$E$132,"310",$AZ$4:$AZ$132)</f>
        <v>209530623</v>
      </c>
      <c r="BA139" s="126">
        <f>SUMIF($E$4:$E$132,"310",$BA$4:$BA$132)</f>
        <v>0</v>
      </c>
      <c r="BB139" s="126">
        <f>SUMIF($E$4:$E$132,"310",$BB$4:$BB$132)</f>
        <v>128077676</v>
      </c>
      <c r="BC139" s="126">
        <f>SUMIF($E$4:$E$132,"310",$BC$4:$BC$132)</f>
        <v>0</v>
      </c>
      <c r="BD139" s="126">
        <f>SUMIF($E$4:$E$132,"310",$BD$4:$BD$132)</f>
        <v>0</v>
      </c>
      <c r="BE139" s="126">
        <f>SUMIF($E$4:$E$132,"310",$BE$4:$BE$132)</f>
        <v>0</v>
      </c>
      <c r="BF139" s="126">
        <f>SUMIF($E$4:$E$132,"310",$BF$4:$BF$132)</f>
        <v>0</v>
      </c>
      <c r="BG139" s="126">
        <f>SUMIF($E$4:$E$132,"310",$BG$4:$BG$132)</f>
        <v>0</v>
      </c>
      <c r="BH139" s="126">
        <f>SUMIF($E$4:$E$132,"310",$BH$4:$BH$132)</f>
        <v>0</v>
      </c>
      <c r="BI139" s="126">
        <f>SUMIF($E$4:$E$132,"310",$BI$4:$BI$132)</f>
        <v>4978784</v>
      </c>
      <c r="BJ139" s="126">
        <f>SUMIF($E$4:$E$132,"310",$BJ$4:$BJ$132)</f>
        <v>0</v>
      </c>
      <c r="BK139" s="126">
        <f>SUMIF($E$4:$E$132,"310",$BK$4:$BK$132)</f>
        <v>0</v>
      </c>
      <c r="BL139" s="126">
        <f>SUMIF($E$4:$E$132,"310",$BL$4:$BL$132)</f>
        <v>0</v>
      </c>
      <c r="BM139" s="126">
        <f>SUMIF($E$4:$E$132,"310",$BM$4:$BM$132)</f>
        <v>0</v>
      </c>
      <c r="BN139" s="126">
        <f>SUMIF($E$4:$E$132,"310",$BM$4:$BM$132)</f>
        <v>0</v>
      </c>
      <c r="BO139" s="126">
        <f>SUMIF($E$4:$E$132,"310",$BO$4:$BO$132)</f>
        <v>0</v>
      </c>
      <c r="BP139" s="126">
        <f>SUMIF($E$4:$E$132,"310",$BP$4:$BP$132)</f>
        <v>0</v>
      </c>
      <c r="BQ139" s="127">
        <f>SUMIF($E$4:$E$132,"310",$BQ$4:$BQ$132)</f>
        <v>24652584</v>
      </c>
      <c r="BR139" s="128">
        <f t="shared" si="182"/>
        <v>0.65689658758102798</v>
      </c>
      <c r="BS139" s="33">
        <f t="shared" si="183"/>
        <v>703107213</v>
      </c>
      <c r="BT139" s="123">
        <f>SUMIF($E$4:$E$132,"310",$BT$4:$BT$132)</f>
        <v>0</v>
      </c>
      <c r="BU139" s="123">
        <f>SUMIF($E$4:$E$132,"310",$BU$4:$BU$132)</f>
        <v>0</v>
      </c>
      <c r="BV139" s="123">
        <f>SUMIF($E$4:$E$132,"310",$BV$4:$BV$132)</f>
        <v>240469377</v>
      </c>
      <c r="BW139" s="123">
        <f>SUMIF($E$4:$E$132,"310",$BW$4:$BW$132)</f>
        <v>0</v>
      </c>
      <c r="BX139" s="123">
        <f>SUMIF($E$4:$E$132,"310",$BX$4:$BX$132)</f>
        <v>410290420</v>
      </c>
      <c r="BY139" s="123">
        <f>SUMIF($E$4:$E$132,"310",$BY$4:$BY$132)</f>
        <v>0</v>
      </c>
      <c r="BZ139" s="123">
        <f>SUMIF($E$4:$E$132,"310",$BZ$4:$BZ$132)</f>
        <v>0</v>
      </c>
      <c r="CA139" s="123">
        <f>SUMIF($E$4:$E$132,"310",$CA$4:$CA$132)</f>
        <v>0</v>
      </c>
      <c r="CB139" s="123">
        <f>SUMIF($E$4:$E$132,"310",$CB$4:$CB$132)</f>
        <v>0</v>
      </c>
      <c r="CC139" s="123">
        <f>SUMIF($E$4:$E$132,"310",$CC$4:$CC$132)</f>
        <v>0</v>
      </c>
      <c r="CD139" s="123">
        <f>SUMIF($E$4:$E$132,"310",$CD$4:$CD$132)</f>
        <v>0</v>
      </c>
      <c r="CE139" s="123">
        <f>SUMIF($E$4:$E$132,"310",$CE$4:$CE$132)</f>
        <v>0</v>
      </c>
      <c r="CF139" s="123">
        <f>SUMIF($E$4:$E$132,"310",$CF$4:$CF$132)</f>
        <v>0</v>
      </c>
      <c r="CG139" s="123">
        <f>SUMIF($E$4:$E$132,"310",$CG$4:$CG$132)</f>
        <v>0</v>
      </c>
      <c r="CH139" s="123">
        <f>SUMIF($E$4:$E$132,"310",$CH$4:$CH$132)</f>
        <v>0</v>
      </c>
      <c r="CI139" s="123">
        <f>SUMIF($E$4:$E$132,"310",$CI$4:$CI$132)</f>
        <v>0</v>
      </c>
      <c r="CJ139" s="123">
        <f>SUMIF($E$4:$E$132,"310",$CJ$4:$CJ$132)</f>
        <v>0</v>
      </c>
      <c r="CK139" s="123">
        <f>SUMIF($E$4:$E$132,"310",$CK$4:$CK$132)</f>
        <v>0</v>
      </c>
      <c r="CL139" s="123">
        <f>SUMIF($E$4:$E$132,"310",$CL$4:$CL$132)</f>
        <v>0</v>
      </c>
      <c r="CM139" s="129">
        <f>SUMIF($E$4:$E$132,"310",$CM$4:$CM$132)</f>
        <v>52347416</v>
      </c>
      <c r="CN139" s="25">
        <f t="shared" si="184"/>
        <v>0.34310341241897202</v>
      </c>
      <c r="CO139" s="28">
        <f t="shared" si="185"/>
        <v>367239667</v>
      </c>
      <c r="CP139" s="126">
        <f>SUMIF($E$4:$E$132,"310",$CP$4:$CP$132)</f>
        <v>0</v>
      </c>
      <c r="CQ139" s="126">
        <f>SUMIF($E$4:$E$132,"310",$CQ$4:$CQ$132)</f>
        <v>209530623</v>
      </c>
      <c r="CR139" s="126">
        <f>SUMIF($E$4:$E$132,"310",$CR$4:$CR$132)</f>
        <v>0</v>
      </c>
      <c r="CS139" s="126">
        <f>SUMIF($E$4:$E$132,"310",$CS$4:$CS$132)</f>
        <v>128077676</v>
      </c>
      <c r="CT139" s="126">
        <f>SUMIF($E$4:$E$132,"310",$CT$4:$CT$132)</f>
        <v>0</v>
      </c>
      <c r="CU139" s="126">
        <f>SUMIF($E$4:$E$132,"310",$CU$4:$CU$132)</f>
        <v>0</v>
      </c>
      <c r="CV139" s="130">
        <f>SUMIF($E$4:$E$132,"310",$CV$4:$CV$132)</f>
        <v>0</v>
      </c>
      <c r="CW139" s="130">
        <f>SUMIF($E$4:$E$132,"310",$CW$4:$CW$132)</f>
        <v>0</v>
      </c>
      <c r="CX139" s="130">
        <f>SUMIF($E$4:$E$132,"310",$CX$4:$CX$132)</f>
        <v>0</v>
      </c>
      <c r="CY139" s="130">
        <f>SUMIF($E$4:$E$132,"310",$CY$4:$CY$132)</f>
        <v>0</v>
      </c>
      <c r="CZ139" s="130">
        <f>SUMIF($E$4:$E$132,"310",$CZ$4:$CZ$132)</f>
        <v>4978784</v>
      </c>
      <c r="DA139" s="130">
        <f>SUMIF($E$4:$E$132,"310",$DA$4:$DA$132)</f>
        <v>0</v>
      </c>
      <c r="DB139" s="130">
        <f>SUMIF($E$4:$E$132,"310",$DB$4:$DB$132)</f>
        <v>0</v>
      </c>
      <c r="DC139" s="130">
        <f>SUMIF($E$4:$E$132,"310",$DC$4:$DC$132)</f>
        <v>0</v>
      </c>
      <c r="DD139" s="130">
        <f>SUMIF($E$4:$E$132,"310",$DD$4:$DD$132)</f>
        <v>0</v>
      </c>
      <c r="DE139" s="130">
        <f>SUMIF($E$4:$E$132,"310",$DE$4:$DE$132)</f>
        <v>0</v>
      </c>
      <c r="DF139" s="130">
        <f>SUMIF($E$4:$E$132,"310",$DF$4:$DF$132)</f>
        <v>0</v>
      </c>
      <c r="DG139" s="130">
        <f>SUMIF($E$4:$E$132,"310",$DG$4:$DG$132)</f>
        <v>0</v>
      </c>
      <c r="DH139" s="130">
        <f>SUMIF($E$4:$E$132,"310",$DH$4:$DH$132)</f>
        <v>24652584</v>
      </c>
      <c r="DJ139" s="29">
        <f t="shared" si="167"/>
        <v>1070346880</v>
      </c>
      <c r="DK139" s="29">
        <f t="shared" si="186"/>
        <v>1070346880</v>
      </c>
      <c r="DL139" s="29">
        <f t="shared" si="187"/>
        <v>1070346880</v>
      </c>
    </row>
    <row r="140" spans="1:116" x14ac:dyDescent="0.25">
      <c r="C140" s="132"/>
      <c r="D140" s="121" t="s">
        <v>376</v>
      </c>
      <c r="E140" s="114">
        <v>410</v>
      </c>
      <c r="F140" s="122"/>
      <c r="G140" s="123">
        <f>SUMIF($E$4:$E$132,"410",$G$4:$G$132)</f>
        <v>6304612321</v>
      </c>
      <c r="H140" s="124">
        <f>SUMIF($E$4:$E$132,"410",$H$4:$H$132)</f>
        <v>0</v>
      </c>
      <c r="I140" s="124">
        <f>SUMIF($E$4:$E$133,"410",$I$4:$I$133)</f>
        <v>2263096695</v>
      </c>
      <c r="J140" s="123">
        <f>SUMIF($E$4:$E$132,"410",$J$4:$J$132)</f>
        <v>0</v>
      </c>
      <c r="K140" s="122">
        <f>SUMIF($E$4:$E$132,"410",$K$4:$K$132)</f>
        <v>0</v>
      </c>
      <c r="L140" s="122">
        <f>SUMIF($E$4:$E$132,"410",$L$4:$L$132)</f>
        <v>74368590</v>
      </c>
      <c r="M140" s="122">
        <f>SUMIF($E$4:$E$132,"410",$M$4:$M$132)</f>
        <v>0</v>
      </c>
      <c r="N140" s="122">
        <f>SUMIF($E$4:$E$132,"410",$N$4:$N$132)</f>
        <v>0</v>
      </c>
      <c r="O140" s="122">
        <f>SUMIF($E$4:$E$132,"410",$O$4:$O$132)</f>
        <v>0</v>
      </c>
      <c r="P140" s="122">
        <f>SUMIF($E$4:$E$132,"410",$P$4:$P$132)</f>
        <v>0</v>
      </c>
      <c r="Q140" s="122">
        <f>SUMIF($E$4:$E$132,"410",$Q$4:$Q$132)</f>
        <v>0</v>
      </c>
      <c r="R140" s="122">
        <f>SUMIF($E$4:$E$132,"410",$R$4:$R$132)</f>
        <v>2107644065</v>
      </c>
      <c r="S140" s="122">
        <f>SUMIF($E$4:$E$132,"410",$S$4:$S$132)</f>
        <v>387696735</v>
      </c>
      <c r="T140" s="122">
        <f>SUMIF($E$4:$E$132,"410",$T$4:$T$132)</f>
        <v>0</v>
      </c>
      <c r="U140" s="122">
        <f>SUMIF($E$4:$E$124,"410",$U$4:$U$124)</f>
        <v>1054833768</v>
      </c>
      <c r="V140" s="122">
        <f>SUMIF($E$4:$E$124,"410",$V$4:$V$124)</f>
        <v>0</v>
      </c>
      <c r="W140" s="122">
        <f>SUMIF($E$4:$E$132,"410",$W$4:$W$132)</f>
        <v>101970259</v>
      </c>
      <c r="X140" s="122">
        <f>SUMIF($E$4:$E$132,"410",$X$4:$X$132)</f>
        <v>0</v>
      </c>
      <c r="Y140" s="122">
        <f>SUMIF($E$4:$E$132,"410",$Y$4:$Y$132)</f>
        <v>204741836</v>
      </c>
      <c r="Z140" s="122">
        <f>SUMIF($E$4:$E$132,"410",$Z$4:$Z$132)</f>
        <v>110260373</v>
      </c>
      <c r="AA140" s="125">
        <f t="shared" si="178"/>
        <v>0.86761253658375426</v>
      </c>
      <c r="AB140" s="28">
        <f t="shared" si="179"/>
        <v>5469960688</v>
      </c>
      <c r="AC140" s="123">
        <f>SUMIF($E$4:$E$132,"410",$AC$4:$AC$132)</f>
        <v>0</v>
      </c>
      <c r="AD140" s="123">
        <f>SUMIF($E$4:$E$132,"410",$AD$4:$AD$132)</f>
        <v>0</v>
      </c>
      <c r="AE140" s="123">
        <f>SUMIF($E$4:$E$132,"410",$AE$4:$AE$132)</f>
        <v>2041432876</v>
      </c>
      <c r="AF140" s="123">
        <f>SUMIF($E$4:$E$132,"410",$AF$4:$AF$132)</f>
        <v>0</v>
      </c>
      <c r="AG140" s="123">
        <f>SUMIF($E$4:$E$132,"410",$AG$4:$AG$132)</f>
        <v>0</v>
      </c>
      <c r="AH140" s="123">
        <f>SUMIF($E$4:$E$132,"410",$AH$4:$AH$132)</f>
        <v>62566149</v>
      </c>
      <c r="AI140" s="123">
        <f>SUMIF($E$4:$E$132,"410",$AI$4:$AI$132)</f>
        <v>0</v>
      </c>
      <c r="AJ140" s="123">
        <f>SUMIF($E$4:$E$132,"410",$AJ$4:$AJ$132)</f>
        <v>0</v>
      </c>
      <c r="AK140" s="123">
        <f>SUMIF($E$4:$E$132,"410",$AK$4:$AK$132)</f>
        <v>0</v>
      </c>
      <c r="AL140" s="123">
        <f>SUMIF($E$4:$E$132,"410",$AL$4:$AL$132)</f>
        <v>0</v>
      </c>
      <c r="AM140" s="123">
        <f>SUMIF($E$4:$E$132,"410",$AM$4:$AM$132)</f>
        <v>0</v>
      </c>
      <c r="AN140" s="123">
        <f>SUMIF($E$4:$E$132,"410",$AN$4:$AN$132)</f>
        <v>1702567793</v>
      </c>
      <c r="AO140" s="123">
        <f>SUMIF($E$4:$E$132,"410",$AO$4:$AO$132)</f>
        <v>385950453</v>
      </c>
      <c r="AP140" s="123">
        <f>SUMIF($E$4:$E$132,"410",$AP$4:$AP$132)</f>
        <v>0</v>
      </c>
      <c r="AQ140" s="123">
        <f>SUMIF($E$4:$E$132,"410",$AQ$4:$AQ$132)</f>
        <v>988088149</v>
      </c>
      <c r="AR140" s="123">
        <f>SUMIF($E$4:$E$132,"410",$AR$4:$AR$132)</f>
        <v>0</v>
      </c>
      <c r="AS140" s="123">
        <f>SUMIF($E$4:$E$132,"410",$AS$4:$AS$132)</f>
        <v>85302101</v>
      </c>
      <c r="AT140" s="123">
        <f>SUMIF($E$4:$E$132,"410",$AT$4:$AT$132)</f>
        <v>0</v>
      </c>
      <c r="AU140" s="123">
        <f>SUMIF($E$4:$E$132,"410",$AU$4:$AU$132)</f>
        <v>111779461</v>
      </c>
      <c r="AV140" s="123">
        <f>SUMIF($E$4:$E$132,"410",$AV$4:$AV$132)</f>
        <v>92273706</v>
      </c>
      <c r="AW140" s="108">
        <f t="shared" si="180"/>
        <v>0.13238746341624574</v>
      </c>
      <c r="AX140" s="28">
        <f t="shared" si="181"/>
        <v>834651633</v>
      </c>
      <c r="AY140" s="126">
        <f>SUMIF($E$4:$E$132,"410",$AY$4:$AY$132)</f>
        <v>0</v>
      </c>
      <c r="AZ140" s="126">
        <f>SUMIF($E$4:$E$132,"410",$AZ$4:$AZ$132)</f>
        <v>221663819</v>
      </c>
      <c r="BA140" s="126">
        <f>SUMIF($E$4:$E$132,"410",$BA$4:$BA$132)</f>
        <v>0</v>
      </c>
      <c r="BB140" s="126">
        <f>SUMIF($E$4:$E$132,"410",$BB$4:$BB$132)</f>
        <v>0</v>
      </c>
      <c r="BC140" s="126">
        <f>SUMIF($E$4:$E$132,"410",$BC$4:$BC$132)</f>
        <v>11802441</v>
      </c>
      <c r="BD140" s="126">
        <f>SUMIF($E$4:$E$132,"410",$BD$4:$BD$132)</f>
        <v>0</v>
      </c>
      <c r="BE140" s="126">
        <f>SUMIF($E$4:$E$132,"410",$BE$4:$BE$132)</f>
        <v>0</v>
      </c>
      <c r="BF140" s="126">
        <f>SUMIF($E$4:$E$132,"410",$BF$4:$BF$132)</f>
        <v>0</v>
      </c>
      <c r="BG140" s="126">
        <f>SUMIF($E$4:$E$132,"410",$BG$4:$BG$132)</f>
        <v>0</v>
      </c>
      <c r="BH140" s="126">
        <f>SUMIF($E$4:$E$132,"410",$BH$4:$BH$132)</f>
        <v>0</v>
      </c>
      <c r="BI140" s="126">
        <f>SUMIF($E$4:$E$132,"410",$BI$4:$BI$132)</f>
        <v>405076272</v>
      </c>
      <c r="BJ140" s="126">
        <f>SUMIF($E$4:$E$132,"410",$BJ$4:$BJ$132)</f>
        <v>1746282</v>
      </c>
      <c r="BK140" s="126">
        <f>SUMIF($E$4:$E$132,"410",$BK$4:$BK$132)</f>
        <v>0</v>
      </c>
      <c r="BL140" s="126">
        <f>SUMIF($E$4:$E$132,"410",$BL$4:$BL$132)</f>
        <v>66745619</v>
      </c>
      <c r="BM140" s="126">
        <f>SUMIF($E$4:$E$132,"510",$BM$4:$BM$132)</f>
        <v>0</v>
      </c>
      <c r="BN140" s="126">
        <f>SUMIF($E$4:$E$132,"410",$BN$4:$BN$132)</f>
        <v>16668158</v>
      </c>
      <c r="BO140" s="126">
        <f>SUMIF($E$4:$E$132,"410",$BO$4:$BO$132)</f>
        <v>0</v>
      </c>
      <c r="BP140" s="126">
        <f>SUMIF($E$4:$E$132,"410",$BP$4:$BP$132)</f>
        <v>92962375</v>
      </c>
      <c r="BQ140" s="127">
        <f>SUMIF($E$4:$E$132,"410",$BQ$4:$BQ$132)</f>
        <v>17986667</v>
      </c>
      <c r="BR140" s="128">
        <f t="shared" si="182"/>
        <v>0.86761253658375426</v>
      </c>
      <c r="BS140" s="28">
        <f t="shared" si="183"/>
        <v>5469960688</v>
      </c>
      <c r="BT140" s="123">
        <f>SUMIF($E$4:$E$132,"410",$BT$4:$BT$132)</f>
        <v>0</v>
      </c>
      <c r="BU140" s="123">
        <f>SUMIF($E$4:$E$132,"410",$BU$4:$BU$132)</f>
        <v>0</v>
      </c>
      <c r="BV140" s="123">
        <f>SUMIF($E$4:$E$132,"410",$BV$4:$BV$132)</f>
        <v>2041432876</v>
      </c>
      <c r="BW140" s="123">
        <f>SUMIF($E$4:$E$132,"410",$BW$4:$BW$132)</f>
        <v>0</v>
      </c>
      <c r="BX140" s="123">
        <f>SUMIF($E$4:$E$132,"410",$BX$4:$BX$132)</f>
        <v>0</v>
      </c>
      <c r="BY140" s="123">
        <f>SUMIF($E$4:$E$132,"410",$BY$4:$BY$132)</f>
        <v>62566149</v>
      </c>
      <c r="BZ140" s="123">
        <f>SUMIF($E$4:$E$132,"410",$BZ$4:$BZ$132)</f>
        <v>0</v>
      </c>
      <c r="CA140" s="123">
        <f>SUMIF($E$4:$E$132,"410",$CA$4:$CA$132)</f>
        <v>0</v>
      </c>
      <c r="CB140" s="123">
        <f>SUMIF($E$4:$E$132,"410",$CB$4:$CB$132)</f>
        <v>0</v>
      </c>
      <c r="CC140" s="123">
        <f>SUMIF($E$4:$E$132,"410",$CC$4:$CC$132)</f>
        <v>0</v>
      </c>
      <c r="CD140" s="123">
        <f>SUMIF($E$4:$E$132,"410",$CD$4:$CD$132)</f>
        <v>0</v>
      </c>
      <c r="CE140" s="123">
        <f>SUMIF($E$4:$E$132,"410",$CE$4:$CE$132)</f>
        <v>1702567793</v>
      </c>
      <c r="CF140" s="123">
        <f>SUMIF($E$4:$E$132,"410",$CF$4:$CF$132)</f>
        <v>385950453</v>
      </c>
      <c r="CG140" s="123">
        <f>SUMIF($E$4:$E$132,"410",$CG$4:$CG$132)</f>
        <v>0</v>
      </c>
      <c r="CH140" s="123">
        <f>SUMIF($E$4:$E$132,"410",$CH$4:$CH$132)</f>
        <v>988088149</v>
      </c>
      <c r="CI140" s="123">
        <f>SUMIF($E$4:$E$132,"410",$CI$4:$CI$132)</f>
        <v>0</v>
      </c>
      <c r="CJ140" s="123">
        <f>SUMIF($E$4:$E$132,"410",$CJ$4:$CJ$132)</f>
        <v>85302101</v>
      </c>
      <c r="CK140" s="123">
        <f>SUMIF($E$4:$E$132,"410",$CK$4:$CK$132)</f>
        <v>0</v>
      </c>
      <c r="CL140" s="123">
        <f>SUMIF($E$4:$E$132,"410",$CL$4:$CL$132)</f>
        <v>111779461</v>
      </c>
      <c r="CM140" s="129">
        <f>SUMIF($E$4:$E$132,"410",$CM$4:$CM$132)</f>
        <v>92273706</v>
      </c>
      <c r="CN140" s="25">
        <f t="shared" si="184"/>
        <v>0.13238746341624574</v>
      </c>
      <c r="CO140" s="28">
        <f t="shared" si="185"/>
        <v>834651633</v>
      </c>
      <c r="CP140" s="126">
        <f>SUMIF($E$4:$E$132,"410",$CP$4:$CP$132)</f>
        <v>0</v>
      </c>
      <c r="CQ140" s="126">
        <f>SUMIF($E$4:$E$132,"410",$CQ$4:$CQ$132)</f>
        <v>221663819</v>
      </c>
      <c r="CR140" s="126">
        <f>SUMIF($E$4:$E$132,"410",$CR$4:$CR$132)</f>
        <v>0</v>
      </c>
      <c r="CS140" s="126">
        <f>SUMIF($E$4:$E$132,"410",$CS$4:$CS$132)</f>
        <v>0</v>
      </c>
      <c r="CT140" s="126">
        <f>SUMIF($E$4:$E$132,"410",$CT$4:$CT$132)</f>
        <v>11802441</v>
      </c>
      <c r="CU140" s="126">
        <f>SUMIF($E$4:$E$132,"410",$CU$4:$CU$132)</f>
        <v>0</v>
      </c>
      <c r="CV140" s="130">
        <f>SUMIF($E$4:$E$132,"410",$CV$4:$CV$132)</f>
        <v>0</v>
      </c>
      <c r="CW140" s="130">
        <f>SUMIF($E$4:$E$132,"410",$CW$4:$CW$132)</f>
        <v>0</v>
      </c>
      <c r="CX140" s="130">
        <f>SUMIF($E$4:$E$132,"410",$CX$4:$CX$132)</f>
        <v>0</v>
      </c>
      <c r="CY140" s="130">
        <f>SUMIF($E$4:$E$132,"410",$CY$4:$CY$132)</f>
        <v>0</v>
      </c>
      <c r="CZ140" s="130">
        <f>SUMIF($E$4:$E$132,"410",$CZ$4:$CZ$132)</f>
        <v>405076272</v>
      </c>
      <c r="DA140" s="130">
        <f>SUMIF($E$4:$E$132,"410",$DA$4:$DA$132)</f>
        <v>1746282</v>
      </c>
      <c r="DB140" s="130">
        <f>SUMIF($E$4:$E$132,"410",$DB$4:$DB$132)</f>
        <v>0</v>
      </c>
      <c r="DC140" s="130">
        <f>SUMIF($E$4:$E$132,"410",$DC$4:$DC$132)</f>
        <v>66745619</v>
      </c>
      <c r="DD140" s="130">
        <f>SUMIF($E$4:$E$132,"410",$DD$4:$DD$132)</f>
        <v>0</v>
      </c>
      <c r="DE140" s="130">
        <f>SUMIF($E$4:$E$132,"410",$DE$4:$DE$132)</f>
        <v>16668158</v>
      </c>
      <c r="DF140" s="130">
        <f>SUMIF($E$4:$E$132,"410",$DF$4:$DF$132)</f>
        <v>0</v>
      </c>
      <c r="DG140" s="130">
        <f>SUMIF($E$4:$E$132,"410",$DG$4:$DG$132)</f>
        <v>92962375</v>
      </c>
      <c r="DH140" s="130">
        <f>SUMIF($E$4:$E$132,"410",$DH$4:$DH$132)</f>
        <v>17986667</v>
      </c>
      <c r="DJ140" s="29">
        <f t="shared" si="167"/>
        <v>6304612321</v>
      </c>
      <c r="DK140" s="29">
        <f t="shared" si="186"/>
        <v>6304612321</v>
      </c>
      <c r="DL140" s="29">
        <f t="shared" si="187"/>
        <v>6304612321</v>
      </c>
    </row>
    <row r="141" spans="1:116" ht="14.25" customHeight="1" x14ac:dyDescent="0.25">
      <c r="C141" s="132"/>
      <c r="D141" s="133" t="s">
        <v>377</v>
      </c>
      <c r="E141" s="114">
        <v>510</v>
      </c>
      <c r="F141" s="122"/>
      <c r="G141" s="123">
        <f>SUMIF($E$4:$E$132,"510",$G$4:$G$132)</f>
        <v>1083280977</v>
      </c>
      <c r="H141" s="124">
        <f>SUMIF($E$4:$E$132,"510",$H$4:$H$132)</f>
        <v>0</v>
      </c>
      <c r="I141" s="124">
        <f>SUMIF($E$4:$E$133,"510",$I$4:$I$133)</f>
        <v>0</v>
      </c>
      <c r="J141" s="123">
        <f>SUMIF($E$4:$E$132,"510",$J$4:$J$132)</f>
        <v>0</v>
      </c>
      <c r="K141" s="122">
        <f>SUMIF($E$4:$E$132,"510",$K$4:$K$132)</f>
        <v>841368554</v>
      </c>
      <c r="L141" s="122">
        <f>SUMIF($E$4:$E$132,"510",$L$4:$L$132)</f>
        <v>14004396</v>
      </c>
      <c r="M141" s="122">
        <f>SUMIF($E$4:$E$132,"510",$M$4:$M$132)</f>
        <v>0</v>
      </c>
      <c r="N141" s="122">
        <f>SUMIF($E$4:$E$132,"510",$N$4:$N$132)</f>
        <v>0</v>
      </c>
      <c r="O141" s="122">
        <f>SUMIF($E$4:$E$132,"510",$O$4:$O$132)</f>
        <v>0</v>
      </c>
      <c r="P141" s="122">
        <f>SUMIF($E$4:$E$132,"510",$P$4:$P$132)</f>
        <v>0</v>
      </c>
      <c r="Q141" s="122">
        <f>SUMIF($E$4:$E$132,"510",$Q$4:$Q$132)</f>
        <v>0</v>
      </c>
      <c r="R141" s="122">
        <f>SUMIF($E$4:$E$132,"510",$R$4:$R$132)</f>
        <v>0</v>
      </c>
      <c r="S141" s="122">
        <f>SUMIF($E$4:$E$132,"510",$S$4:$S$132)</f>
        <v>40431446</v>
      </c>
      <c r="T141" s="122">
        <f>SUMIF($E$4:$E$132,"510",$T$4:$T$132)</f>
        <v>1796640</v>
      </c>
      <c r="U141" s="122">
        <f>SUMIF($E$4:$E$132,"510",$U$4:$U$132)</f>
        <v>6000000</v>
      </c>
      <c r="V141" s="122">
        <f>SUMIF($E$4:$E$124,"510",$V$4:$V$124)</f>
        <v>0</v>
      </c>
      <c r="W141" s="122"/>
      <c r="X141" s="122">
        <f>SUMIF($E$4:$E$132,"510",$X$4:$X$132)</f>
        <v>0</v>
      </c>
      <c r="Y141" s="122">
        <f>SUMIF($E$4:$E$132,"510",$Y$4:$Y$132)</f>
        <v>0</v>
      </c>
      <c r="Z141" s="122">
        <f>SUMIF($E$4:$E$132,"510",$Z$4:$Z$132)</f>
        <v>179679941</v>
      </c>
      <c r="AA141" s="125">
        <f t="shared" si="178"/>
        <v>0.9173209869815705</v>
      </c>
      <c r="AB141" s="28">
        <f t="shared" si="179"/>
        <v>993716375</v>
      </c>
      <c r="AC141" s="123">
        <f>SUMIF($E$4:$E$132,"510",$AC$4:$AC$132)</f>
        <v>0</v>
      </c>
      <c r="AD141" s="123">
        <f>SUMIF($E$4:$E$132,"510",$AD$4:$AD$132)</f>
        <v>0</v>
      </c>
      <c r="AE141" s="123">
        <f>SUMIF($E$4:$E$132,"510",$AE$4:$AE$132)</f>
        <v>0</v>
      </c>
      <c r="AF141" s="123">
        <f>SUMIF($E$4:$E$132,"510",$AF$4:$AF$132)</f>
        <v>0</v>
      </c>
      <c r="AG141" s="123">
        <f>SUMIF($E$4:$E$132,"510",$AG$4:$AG$132)</f>
        <v>795650695</v>
      </c>
      <c r="AH141" s="123">
        <f>SUMIF($E$4:$E$132,"510",$AH$4:$AH$132)</f>
        <v>14004396</v>
      </c>
      <c r="AI141" s="123">
        <f>SUMIF($E$4:$E$132,"510",$AI$4:$AI$132)</f>
        <v>0</v>
      </c>
      <c r="AJ141" s="123">
        <f>SUMIF($E$4:$E$132,"510",$AJ$4:$AJ$132)</f>
        <v>0</v>
      </c>
      <c r="AK141" s="123">
        <f>SUMIF($E$4:$E$132,"510",$AK$4:$AK$132)</f>
        <v>0</v>
      </c>
      <c r="AL141" s="123">
        <f>SUMIF($E$4:$E$132,"510",$AL$4:$AL$132)</f>
        <v>0</v>
      </c>
      <c r="AM141" s="123">
        <f>SUMIF($E$4:$E$132,"510",$AM$4:$AM$132)</f>
        <v>0</v>
      </c>
      <c r="AN141" s="123">
        <f>SUMIF($E$4:$E$132,"510",$AN$4:$AN$132)</f>
        <v>0</v>
      </c>
      <c r="AO141" s="123">
        <f>SUMIF($E$4:$E$132,"510",$AO$4:$AO$132)</f>
        <v>35154230</v>
      </c>
      <c r="AP141" s="123">
        <f>SUMIF($E$4:$E$132,"510",$AP$4:$AP$132)</f>
        <v>1796640</v>
      </c>
      <c r="AQ141" s="123">
        <f>SUMIF($E$4:$E$132,"510",$AQ$4:$AQ$132)</f>
        <v>5652704</v>
      </c>
      <c r="AR141" s="123">
        <f>SUMIF($E$4:$E$132,"510",$AR$4:$AR$132)</f>
        <v>0</v>
      </c>
      <c r="AS141" s="123">
        <f>SUMIF($E$4:$E$132,"510",$AS$4:$AS$132)</f>
        <v>0</v>
      </c>
      <c r="AT141" s="123">
        <f>SUMIF($E$4:$E$132,"510",$AT$4:$AT$132)</f>
        <v>0</v>
      </c>
      <c r="AU141" s="123">
        <f>SUMIF($E$4:$E$132," 510",$AU$4:$AU$132)</f>
        <v>0</v>
      </c>
      <c r="AV141" s="123">
        <f>SUMIF($E$4:$E$132,"510",$AV$4:$AV$132)</f>
        <v>141457710</v>
      </c>
      <c r="AW141" s="108">
        <f t="shared" si="180"/>
        <v>8.2679013018429504E-2</v>
      </c>
      <c r="AX141" s="28">
        <f t="shared" si="181"/>
        <v>89564602</v>
      </c>
      <c r="AY141" s="126">
        <f>SUMIF($E$4:$E$132,"510",$AY$4:$AY$132)</f>
        <v>0</v>
      </c>
      <c r="AZ141" s="126">
        <f>SUMIF($E$4:$E$132,"510",$AZ$4:$AZ$132)</f>
        <v>0</v>
      </c>
      <c r="BA141" s="126">
        <f>SUMIF($E$4:$E$132,"510",$BA$4:$BA$132)</f>
        <v>0</v>
      </c>
      <c r="BB141" s="126">
        <f>SUMIF($E$4:$E$132,"510",$BB$4:$BB$132)</f>
        <v>45717859</v>
      </c>
      <c r="BC141" s="126">
        <f>SUMIF($E$4:$E$132,"510",$BC$4:$BC$132)</f>
        <v>0</v>
      </c>
      <c r="BD141" s="126">
        <f>SUMIF($E$4:$E$132,"510",$BD$4:$BD$132)</f>
        <v>0</v>
      </c>
      <c r="BE141" s="126">
        <f>SUMIF($E$4:$E$132,"510",$BE$4:$BE$132)</f>
        <v>0</v>
      </c>
      <c r="BF141" s="126">
        <f>SUMIF($E$4:$E$132,"510",$BF$4:$BF$132)</f>
        <v>0</v>
      </c>
      <c r="BG141" s="126">
        <f>SUMIF($E$4:$E$132,"510",$BG$4:$BG$132)</f>
        <v>0</v>
      </c>
      <c r="BH141" s="126">
        <f>SUMIF($E$4:$E$132,"510",$BH$4:$BH$132)</f>
        <v>0</v>
      </c>
      <c r="BI141" s="126">
        <f>SUMIF($E$4:$E$132,"510",$BI$4:$BI$132)</f>
        <v>0</v>
      </c>
      <c r="BJ141" s="126">
        <f>SUMIF($E$4:$E$132,"510",$BJ$4:$BJ$132)</f>
        <v>5277216</v>
      </c>
      <c r="BK141" s="126">
        <f>SUMIF($E$4:$E$132,"510",$BK$4:$BK$132)</f>
        <v>0</v>
      </c>
      <c r="BL141" s="126">
        <f>SUMIF($E$4:$E$132,"510",$BL$4:$BL$132)</f>
        <v>347296</v>
      </c>
      <c r="BM141" s="126">
        <f>SUMIF($E$4:$E$132,"520",$BM$4:$BM$132)</f>
        <v>0</v>
      </c>
      <c r="BN141" s="126"/>
      <c r="BO141" s="126">
        <f>SUMIF($E$4:$E$132,"510",$BO$4:$BO$132)</f>
        <v>0</v>
      </c>
      <c r="BP141" s="126">
        <f>SUMIF($E$4:$E$132,"510",$BP$4:$BP$132)</f>
        <v>0</v>
      </c>
      <c r="BQ141" s="127">
        <f>SUMIF($E$4:$E$132,"510",$BQ$4:$BQ$132)</f>
        <v>38222231</v>
      </c>
      <c r="BR141" s="128">
        <f t="shared" si="182"/>
        <v>0.9173209869815705</v>
      </c>
      <c r="BS141" s="28">
        <f t="shared" si="183"/>
        <v>993716375</v>
      </c>
      <c r="BT141" s="123">
        <f>SUMIF($E$4:$E$132,"510",$BT$4:$BT$132)</f>
        <v>0</v>
      </c>
      <c r="BU141" s="123">
        <f>SUMIF($E$4:$E$132,"510",$BU$4:$BU$132)</f>
        <v>0</v>
      </c>
      <c r="BV141" s="123">
        <f>SUMIF($E$4:$E$132,"510",$BV$4:$BV$132)</f>
        <v>0</v>
      </c>
      <c r="BW141" s="123">
        <f>SUMIF($E$4:$E$132,"510",$BW$4:$BW$132)</f>
        <v>0</v>
      </c>
      <c r="BX141" s="123">
        <f>SUMIF($E$4:$E$132,"510",$BX$4:$BX$132)</f>
        <v>795650695</v>
      </c>
      <c r="BY141" s="123">
        <f>SUMIF($E$4:$E$132,"510",$BY$4:$BY$132)</f>
        <v>14004396</v>
      </c>
      <c r="BZ141" s="123">
        <f>SUMIF($E$4:$E$132,"510",$BZ$4:$BZ$132)</f>
        <v>0</v>
      </c>
      <c r="CA141" s="123">
        <f>SUMIF($E$4:$E$132,"510",$CA$4:$CA$132)</f>
        <v>0</v>
      </c>
      <c r="CB141" s="123">
        <f>SUMIF($E$4:$E$132,"510",$CB$4:$CB$132)</f>
        <v>0</v>
      </c>
      <c r="CC141" s="123">
        <f>SUMIF($E$4:$E$132,"510",$CC$4:$CC$132)</f>
        <v>0</v>
      </c>
      <c r="CD141" s="123">
        <f>SUMIF($E$4:$E$132,"510",$CD$4:$CD$132)</f>
        <v>0</v>
      </c>
      <c r="CE141" s="123">
        <f>SUMIF($E$4:$E$132,"510",$CE$4:$CE$132)</f>
        <v>0</v>
      </c>
      <c r="CF141" s="123">
        <f>SUMIF($E$4:$E$132,"510",$CF$4:$CF$132)</f>
        <v>35154230</v>
      </c>
      <c r="CG141" s="123">
        <f>SUMIF($E$4:$E$132,"510",$CG$4:$CG$132)</f>
        <v>1796640</v>
      </c>
      <c r="CH141" s="123">
        <f>SUMIF($E$4:$E$132,"510",$CH$4:$CH$132)</f>
        <v>5652704</v>
      </c>
      <c r="CI141" s="123">
        <f>SUMIF($E$4:$E$132,"510",$CI$4:$CI$132)</f>
        <v>0</v>
      </c>
      <c r="CJ141" s="123">
        <f>SUMIF($E$4:$E$132,"111",$CJ$4:$CJ$132)</f>
        <v>0</v>
      </c>
      <c r="CK141" s="123">
        <f>SUMIF($E$4:$E$132,"510",$CK$4:$CK$132)</f>
        <v>0</v>
      </c>
      <c r="CL141" s="123">
        <f>SUMIF($E$4:$E$132,"510",$CL$4:$CL$132)</f>
        <v>0</v>
      </c>
      <c r="CM141" s="129">
        <f>SUMIF($E$4:$E$132,"510",$CM$4:$CM$132)</f>
        <v>141457710</v>
      </c>
      <c r="CN141" s="25">
        <f t="shared" si="184"/>
        <v>8.2679013018429504E-2</v>
      </c>
      <c r="CO141" s="28">
        <f t="shared" si="185"/>
        <v>89564602</v>
      </c>
      <c r="CP141" s="126">
        <f>SUMIF($E$4:$E$132,"510",$CP$4:$CP$132)</f>
        <v>0</v>
      </c>
      <c r="CQ141" s="126">
        <f>SUMIF($E$4:$E$132,"510",$CQ$4:$CQ$132)</f>
        <v>0</v>
      </c>
      <c r="CR141" s="126">
        <f>SUMIF($E$4:$E$132,"510",$CR$4:$CR$132)</f>
        <v>0</v>
      </c>
      <c r="CS141" s="126">
        <f>SUMIF($E$4:$E$132,"510",$CS$4:$CS$132)</f>
        <v>45717859</v>
      </c>
      <c r="CT141" s="126">
        <f>SUMIF($E$4:$E$132,"510",$CT$4:$CT$132)</f>
        <v>0</v>
      </c>
      <c r="CU141" s="126">
        <f>SUMIF($E$4:$E$132,"510",$CU$4:$CU$132)</f>
        <v>0</v>
      </c>
      <c r="CV141" s="130">
        <f>SUMIF($E$4:$E$132,"510",$CV$4:$CV$132)</f>
        <v>0</v>
      </c>
      <c r="CW141" s="130">
        <f>SUMIF($E$4:$E$132,"510",$CW$4:$CW$132)</f>
        <v>0</v>
      </c>
      <c r="CX141" s="130">
        <f>SUMIF($E$4:$E$132,"510",$CX$4:$CX$132)</f>
        <v>0</v>
      </c>
      <c r="CY141" s="130">
        <f>SUMIF($E$4:$E$132,"510",$CY$4:$CY$132)</f>
        <v>0</v>
      </c>
      <c r="CZ141" s="130">
        <f>SUMIF($E$4:$E$132,"510",$CZ$4:$CZ$132)</f>
        <v>0</v>
      </c>
      <c r="DA141" s="130">
        <f>SUMIF($E$4:$E$132,"510",$DA$4:$DA$132)</f>
        <v>5277216</v>
      </c>
      <c r="DB141" s="130">
        <f>SUMIF($E$4:$E$132,"510",$DB$4:$DB$132)</f>
        <v>0</v>
      </c>
      <c r="DC141" s="130">
        <f>SUMIF($E$4:$E$132,"510",$DC$4:$DC$132)</f>
        <v>347296</v>
      </c>
      <c r="DD141" s="130">
        <f>SUMIF($E$4:$E$132,"510",$DD$4:$DD$132)</f>
        <v>0</v>
      </c>
      <c r="DE141" s="130">
        <f>SUMIF($E$4:$E$132,"510",$DE$4:$DE$132)</f>
        <v>0</v>
      </c>
      <c r="DF141" s="130">
        <f>SUMIF($E$4:$E$132,"510",$DF$4:$DF$132)</f>
        <v>0</v>
      </c>
      <c r="DG141" s="130">
        <f>SUMIF($E$4:$E$132,"510",$DG$4:$DG$132)</f>
        <v>0</v>
      </c>
      <c r="DH141" s="130">
        <f>SUMIF($E$4:$E$132,"510",$DH$4:$DH$132)</f>
        <v>38222231</v>
      </c>
      <c r="DJ141" s="29">
        <f t="shared" si="167"/>
        <v>1083280977</v>
      </c>
      <c r="DK141" s="29">
        <f t="shared" si="186"/>
        <v>1083280977</v>
      </c>
      <c r="DL141" s="29">
        <f t="shared" si="187"/>
        <v>1083280977</v>
      </c>
    </row>
    <row r="142" spans="1:116" x14ac:dyDescent="0.25">
      <c r="C142" s="132"/>
      <c r="D142" s="121" t="s">
        <v>378</v>
      </c>
      <c r="E142" s="114">
        <v>520</v>
      </c>
      <c r="F142" s="122"/>
      <c r="G142" s="123">
        <f>SUMIF($E$4:$E$132,"520",$G$4:$G$132)</f>
        <v>1790134547</v>
      </c>
      <c r="H142" s="124">
        <f>SUMIF($E$4:$E$132,"520",$H$4:$H$132)</f>
        <v>0</v>
      </c>
      <c r="I142" s="124">
        <f>SUMIF($E$4:$E$132,"520",$I$4:$I$132)</f>
        <v>0</v>
      </c>
      <c r="J142" s="123">
        <f>SUMIF($E$4:$E$132,"520",$J$4:$J$132)</f>
        <v>0</v>
      </c>
      <c r="K142" s="122">
        <f>SUMIF($E$4:$E$132,"520",$K$4:$K$132)</f>
        <v>520000000</v>
      </c>
      <c r="L142" s="122">
        <f>SUMIF($E$4:$E$132,"520",$L$4:$L$132)</f>
        <v>50000000</v>
      </c>
      <c r="M142" s="122">
        <f>SUMIF($E$4:$E$132,"520",$M$4:$M$132)</f>
        <v>0</v>
      </c>
      <c r="N142" s="122">
        <f>SUMIF($E$4:$E$132,"520",$N$4:$N$132)</f>
        <v>0</v>
      </c>
      <c r="O142" s="122">
        <f>SUMIF($E$4:$E$132,"520",$O$4:$O$132)</f>
        <v>0</v>
      </c>
      <c r="P142" s="122">
        <f>SUMIF($E$4:$E$132,"520",$P$4:$P$132)</f>
        <v>0</v>
      </c>
      <c r="Q142" s="122">
        <f>SUMIF($E$4:$E$132,"520",$Q$4:$Q$132)</f>
        <v>0</v>
      </c>
      <c r="R142" s="122">
        <f>SUMIF($E$4:$E$132,"520",$R$4:$R$132)</f>
        <v>244000000</v>
      </c>
      <c r="S142" s="122">
        <f>SUMIF($E$4:$E$132,"520",$S$4:$S$132)</f>
        <v>333901442</v>
      </c>
      <c r="T142" s="122">
        <f>SUMIF($E$4:$E$132,"520",$T$4:$T$132)</f>
        <v>0</v>
      </c>
      <c r="U142" s="122">
        <f>SUMIF($E$4:$E$132,"520",$U$4:$U$132)</f>
        <v>0</v>
      </c>
      <c r="V142" s="122">
        <f>SUMIF($E$4:$E$124,"520",$V$4:$V$124)</f>
        <v>0</v>
      </c>
      <c r="W142" s="122"/>
      <c r="X142" s="122">
        <f>SUMIF($E$4:$E$132,"520",$X$4:$X$132)</f>
        <v>0</v>
      </c>
      <c r="Y142" s="122">
        <f>SUMIF($E$4:$E$132,"520",$Y$4:$Y$132)</f>
        <v>0</v>
      </c>
      <c r="Z142" s="122">
        <f>SUMIF($E$4:$E$132,"520",$Z$4:$Z$132)</f>
        <v>642233105</v>
      </c>
      <c r="AA142" s="125">
        <f t="shared" si="178"/>
        <v>0.94110376888894265</v>
      </c>
      <c r="AB142" s="28">
        <f t="shared" si="179"/>
        <v>1684702369</v>
      </c>
      <c r="AC142" s="123">
        <f>SUMIF($E$4:$E$132,"520",$AC$4:$AC$132)</f>
        <v>0</v>
      </c>
      <c r="AD142" s="123">
        <f>SUMIF($E$4:$E$132,"520",$AD$4:$AD$132)</f>
        <v>0</v>
      </c>
      <c r="AE142" s="123">
        <f>SUMIF($E$4:$E$132,"520",$AE$4:$AE$132)</f>
        <v>0</v>
      </c>
      <c r="AF142" s="123">
        <f>SUMIF($E$4:$E$132,"520",$AF$4:$AF$132)</f>
        <v>0</v>
      </c>
      <c r="AG142" s="123">
        <f>SUMIF($E$4:$E$132,"520",$AG$4:$AG$132)</f>
        <v>485265778</v>
      </c>
      <c r="AH142" s="123">
        <f>SUMIF($E$4:$E$132,"520",$AH$4:$AH$132)</f>
        <v>49797725</v>
      </c>
      <c r="AI142" s="123">
        <f>SUMIF($E$4:$E$132,"520",$AI$4:$AI$132)</f>
        <v>0</v>
      </c>
      <c r="AJ142" s="123">
        <f>SUMIF($E$4:$E$132,"520",$AJ$4:$AJ$132)</f>
        <v>0</v>
      </c>
      <c r="AK142" s="123">
        <f>SUMIF($E$4:$E$132,"520",$AK$4:$AK$132)</f>
        <v>0</v>
      </c>
      <c r="AL142" s="123">
        <f>SUMIF($E$4:$E$132,"520",$AL$4:$AL$132)</f>
        <v>0</v>
      </c>
      <c r="AM142" s="123">
        <f>SUMIF($E$4:$E$132,"520",$AM$4:$AM$132)</f>
        <v>0</v>
      </c>
      <c r="AN142" s="123">
        <f>SUMIF($E$4:$E$132,"520",$AN$4:$AN$132)</f>
        <v>214647880</v>
      </c>
      <c r="AO142" s="123">
        <f>SUMIF($E$4:$E$132,"520",$AO$4:$AO$132)</f>
        <v>317313672</v>
      </c>
      <c r="AP142" s="123">
        <f>SUMIF($E$4:$E$132,"520",$AP$4:$AP$132)</f>
        <v>0</v>
      </c>
      <c r="AQ142" s="123">
        <f>SUMIF($E$4:$E$132,"520",$AQ$4:$AQ$132)</f>
        <v>0</v>
      </c>
      <c r="AR142" s="123">
        <f>SUMIF($E$4:$E$132,"520",$AR$4:$AR$132)</f>
        <v>0</v>
      </c>
      <c r="AS142" s="123">
        <f>SUMIF($E$4:$E$132,"520",$AS$4:$AS$132)</f>
        <v>0</v>
      </c>
      <c r="AT142" s="123">
        <f>SUMIF($E$4:$E$132,"520",$AT$4:$AT$132)</f>
        <v>0</v>
      </c>
      <c r="AU142" s="123">
        <f>SUMIF($E$4:$E$132,"520",$AU$4:$AU$132)</f>
        <v>0</v>
      </c>
      <c r="AV142" s="123">
        <f>SUMIF($E$4:$E$132,"520",$AV$4:$AV$132)</f>
        <v>617677314</v>
      </c>
      <c r="AW142" s="108">
        <f t="shared" si="180"/>
        <v>5.8896231111057351E-2</v>
      </c>
      <c r="AX142" s="28">
        <f t="shared" si="181"/>
        <v>105432178</v>
      </c>
      <c r="AY142" s="126">
        <f>SUMIF($E$4:$E$132,"520",$AY$4:$AY$132)</f>
        <v>0</v>
      </c>
      <c r="AZ142" s="126">
        <f>SUMIF($E$4:$E$132,"520",$AZ$4:$AZ$132)</f>
        <v>0</v>
      </c>
      <c r="BA142" s="126">
        <f>SUMIF($E$4:$E$132,"520",$BA$4:$BA$132)</f>
        <v>0</v>
      </c>
      <c r="BB142" s="126">
        <f>SUMIF($E$4:$E$132,"520",$BB$4:$BB$132)</f>
        <v>34734222</v>
      </c>
      <c r="BC142" s="126">
        <f>SUMIF($E$4:$E$132,"520",$BC$4:$BC$132)</f>
        <v>202275</v>
      </c>
      <c r="BD142" s="126">
        <f>SUMIF($E$4:$E$132,"520",$BD$4:$BD$132)</f>
        <v>0</v>
      </c>
      <c r="BE142" s="126">
        <f>SUMIF($E$4:$E$132,"520",$BE$4:$BE$132)</f>
        <v>0</v>
      </c>
      <c r="BF142" s="126">
        <f>SUMIF($E$4:$E$132,"520",$BF$4:$BF$132)</f>
        <v>0</v>
      </c>
      <c r="BG142" s="126">
        <f>SUMIF($E$4:$E$132,"520",$BG$4:$BG$132)</f>
        <v>0</v>
      </c>
      <c r="BH142" s="126">
        <f>SUMIF($E$4:$E$132,"520",$BH$4:$BH$132)</f>
        <v>0</v>
      </c>
      <c r="BI142" s="126">
        <f>SUMIF($E$4:$E$132,"520",$BI$4:$BI$132)</f>
        <v>29352120</v>
      </c>
      <c r="BJ142" s="126">
        <f>SUMIF($E$4:$E$132,"520",$BJ$4:$BJ$132)</f>
        <v>16587770</v>
      </c>
      <c r="BK142" s="126">
        <f>SUMIF($E$4:$E$132,"520",$BK$4:$BK$132)</f>
        <v>0</v>
      </c>
      <c r="BL142" s="126">
        <f>SUMIF($E$4:$E$132,"520",$BL$4:$BL$132)</f>
        <v>0</v>
      </c>
      <c r="BM142" s="126">
        <f>SUMIF($E$4:$E$132,"111",$BM$4:$BM$132)</f>
        <v>0</v>
      </c>
      <c r="BN142" s="126"/>
      <c r="BO142" s="126">
        <f>SUMIF($E$4:$E$132,"520",$BO$4:$BO$132)</f>
        <v>0</v>
      </c>
      <c r="BP142" s="126">
        <f>SUMIF($E$4:$E$132,"520",$BP$4:$BP$132)</f>
        <v>0</v>
      </c>
      <c r="BQ142" s="127">
        <f>SUMIF($E$4:$E$132,"520",$BQ$4:$BQ$132)</f>
        <v>24555791</v>
      </c>
      <c r="BR142" s="128">
        <f t="shared" si="182"/>
        <v>0.94110376888894265</v>
      </c>
      <c r="BS142" s="28">
        <f t="shared" si="183"/>
        <v>1684702369</v>
      </c>
      <c r="BT142" s="123">
        <f>SUMIF($E$4:$E$132,"520",$BT$4:$BT$132)</f>
        <v>0</v>
      </c>
      <c r="BU142" s="123">
        <f>SUMIF($E$4:$E$132,"520",$BU$4:$BU$132)</f>
        <v>0</v>
      </c>
      <c r="BV142" s="123">
        <f>SUMIF($E$4:$E$132,"520",$BV$4:$BV$132)</f>
        <v>0</v>
      </c>
      <c r="BW142" s="123">
        <f>SUMIF($E$4:$E$132,"520",$BW$4:$BW$132)</f>
        <v>0</v>
      </c>
      <c r="BX142" s="123">
        <f>SUMIF($E$4:$E$132,"520",$BX$4:$BX$132)</f>
        <v>485265778</v>
      </c>
      <c r="BY142" s="123">
        <f>SUMIF($E$4:$E$132,"520",$BY$4:$BY$132)</f>
        <v>49797725</v>
      </c>
      <c r="BZ142" s="123">
        <f>SUMIF($E$4:$E$132,"520",$BZ$4:$BZ$132)</f>
        <v>0</v>
      </c>
      <c r="CA142" s="123">
        <f>SUMIF($E$4:$E$132,"520",$CA$4:$CA$132)</f>
        <v>0</v>
      </c>
      <c r="CB142" s="123">
        <f>SUMIF($E$4:$E$132,"520",$CB$4:$CB$132)</f>
        <v>0</v>
      </c>
      <c r="CC142" s="123">
        <f>SUMIF($E$4:$E$132,"520",$CC$4:$CC$132)</f>
        <v>0</v>
      </c>
      <c r="CD142" s="123">
        <f>SUMIF($E$4:$E$132,"520",$CD$4:$CD$132)</f>
        <v>0</v>
      </c>
      <c r="CE142" s="123">
        <f>SUMIF($E$4:$E$132,"520",$CE$4:$CE$132)</f>
        <v>214647880</v>
      </c>
      <c r="CF142" s="123">
        <f>SUMIF($E$4:$E$132,"520",$CF$4:$CF$132)</f>
        <v>317313672</v>
      </c>
      <c r="CG142" s="123">
        <f>SUMIF($E$4:$E$132,"520",$CG$4:$CG$132)</f>
        <v>0</v>
      </c>
      <c r="CH142" s="123">
        <f>SUMIF($E$4:$E$132,"520",$CH$4:$CH$132)</f>
        <v>0</v>
      </c>
      <c r="CI142" s="123">
        <f>SUMIF($E$4:$E$132,"520",$CI$4:$CI$132)</f>
        <v>0</v>
      </c>
      <c r="CJ142" s="123">
        <f>SUMIF($E$4:$E$132,"111",$CJ$4:$CJ$132)</f>
        <v>0</v>
      </c>
      <c r="CK142" s="123">
        <f>SUMIF($E$4:$E$132,"520",$CK$4:$CK$132)</f>
        <v>0</v>
      </c>
      <c r="CL142" s="123">
        <f>SUMIF($E$4:$E$132,"520",$CL$4:$CL$132)</f>
        <v>0</v>
      </c>
      <c r="CM142" s="129">
        <f>SUMIF($E$4:$E$132,"520",$CM$4:$CM$132)</f>
        <v>617677314</v>
      </c>
      <c r="CN142" s="25">
        <f t="shared" si="184"/>
        <v>5.8896231111057351E-2</v>
      </c>
      <c r="CO142" s="28">
        <f t="shared" si="185"/>
        <v>105432178</v>
      </c>
      <c r="CP142" s="126">
        <f>SUMIF($E$4:$E$132,"520",$CP$4:$CP$132)</f>
        <v>0</v>
      </c>
      <c r="CQ142" s="126">
        <f>SUMIF($E$4:$E$132,"520",$CQ$4:$CQ$132)</f>
        <v>0</v>
      </c>
      <c r="CR142" s="126">
        <f>SUMIF($E$4:$E$132,"520",$CR$4:$CR$132)</f>
        <v>0</v>
      </c>
      <c r="CS142" s="126">
        <f>SUMIF($E$4:$E$132,"520",$CS$4:$CS$132)</f>
        <v>34734222</v>
      </c>
      <c r="CT142" s="126">
        <f>SUMIF($E$4:$E$132,"520",$CT$4:$CT$132)</f>
        <v>202275</v>
      </c>
      <c r="CU142" s="126">
        <f>SUMIF($E$4:$E$132,"520",$CU$4:$CU$132)</f>
        <v>0</v>
      </c>
      <c r="CV142" s="130">
        <f>SUMIF($E$4:$E$132,"520",$CV$4:$CV$132)</f>
        <v>0</v>
      </c>
      <c r="CW142" s="130">
        <f>SUMIF($E$4:$E$132,"520",$CW$4:$CW$132)</f>
        <v>0</v>
      </c>
      <c r="CX142" s="130">
        <f>SUMIF($E$4:$E$132,"520",$CX$4:$CX$132)</f>
        <v>0</v>
      </c>
      <c r="CY142" s="130">
        <f>SUMIF($E$4:$E$132,"520",$CY$4:$CY$132)</f>
        <v>0</v>
      </c>
      <c r="CZ142" s="130">
        <f>SUMIF($E$4:$E$132,"520",$CZ$4:$CZ$132)</f>
        <v>29352120</v>
      </c>
      <c r="DA142" s="130">
        <f>SUMIF($E$4:$E$132,"520",$DA$4:$DA$132)</f>
        <v>16587770</v>
      </c>
      <c r="DB142" s="130">
        <f>SUMIF($E$4:$E$132,"520",$DB$4:$DB$132)</f>
        <v>0</v>
      </c>
      <c r="DC142" s="130">
        <f>SUMIF($E$4:$E$132,"520",$DC$4:$DC$132)</f>
        <v>0</v>
      </c>
      <c r="DD142" s="130">
        <f>SUMIF($E$4:$E$132,"520",$DD$4:$DD$132)</f>
        <v>0</v>
      </c>
      <c r="DE142" s="130">
        <f>SUMIF($E$4:$E$132,"520",$DE$4:$DE$132)</f>
        <v>0</v>
      </c>
      <c r="DF142" s="130">
        <f>SUMIF($E$4:$E$132,"520",$DF$4:$DF$132)</f>
        <v>0</v>
      </c>
      <c r="DG142" s="130">
        <f>SUMIF($E$4:$E$132,"520",$DG$4:$DG$132)</f>
        <v>0</v>
      </c>
      <c r="DH142" s="130">
        <f>SUMIF($E$4:$E$132,"520",$DH$4:$DH$132)</f>
        <v>24555791</v>
      </c>
      <c r="DJ142" s="29">
        <f t="shared" si="167"/>
        <v>1790134547</v>
      </c>
      <c r="DK142" s="29">
        <f t="shared" si="186"/>
        <v>1790134547</v>
      </c>
      <c r="DL142" s="29">
        <f t="shared" si="187"/>
        <v>1790134547</v>
      </c>
    </row>
    <row r="143" spans="1:116" x14ac:dyDescent="0.25">
      <c r="C143" s="132"/>
      <c r="D143" s="121" t="s">
        <v>379</v>
      </c>
      <c r="E143" s="114" t="s">
        <v>351</v>
      </c>
      <c r="F143" s="122"/>
      <c r="G143" s="123">
        <f>SUMIF($E$4:$E$132,"520-2",$G$4:$G$132)</f>
        <v>3185000000</v>
      </c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2">
        <f>SUMIF($E$4:$E$132,"520-2",$T$4:$T$132)</f>
        <v>485000000</v>
      </c>
      <c r="U143" s="124"/>
      <c r="V143" s="124"/>
      <c r="W143" s="124"/>
      <c r="X143" s="122">
        <f>SUMIF($E$4:$E$132,"520-2",$X$4:$X$132)</f>
        <v>2700000000</v>
      </c>
      <c r="Y143" s="124"/>
      <c r="Z143" s="122">
        <f>SUMIF($E$4:$E$132,"520-2",$Z$4:$Z$132)</f>
        <v>0</v>
      </c>
      <c r="AA143" s="125">
        <f t="shared" si="178"/>
        <v>0.7800764106750393</v>
      </c>
      <c r="AB143" s="28">
        <f>SUM(AD143:AV143)</f>
        <v>2484543368</v>
      </c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>
        <f>SUMIF($E$4:$E$132,"520-2",$AP$4:$AP$132)</f>
        <v>451915027</v>
      </c>
      <c r="AQ143" s="123"/>
      <c r="AR143" s="123"/>
      <c r="AS143" s="123">
        <f>SUMIF($E$4:$E$132,"520-2",$AS$4:$AS$132)</f>
        <v>0</v>
      </c>
      <c r="AT143" s="123">
        <f>SUMIF($E$4:$E$132,"520-2",$AT$4:$AT$132)</f>
        <v>2032628341</v>
      </c>
      <c r="AU143" s="123"/>
      <c r="AV143" s="123"/>
      <c r="AW143" s="108">
        <f t="shared" si="180"/>
        <v>0.2199235893249607</v>
      </c>
      <c r="AX143" s="28">
        <f t="shared" si="181"/>
        <v>700456632</v>
      </c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>
        <f>SUMIF($E$4:$E$132,"520-2",$BK$4:$BK$132)</f>
        <v>33084973</v>
      </c>
      <c r="BL143" s="126"/>
      <c r="BM143" s="126"/>
      <c r="BN143" s="126"/>
      <c r="BO143" s="126">
        <f>SUMIF($E$4:$E$132,"520-2",$BO$4:$BO$132)</f>
        <v>667371659</v>
      </c>
      <c r="BP143" s="126"/>
      <c r="BQ143" s="127"/>
      <c r="BR143" s="128">
        <f t="shared" si="182"/>
        <v>0.7800764106750393</v>
      </c>
      <c r="BS143" s="28">
        <f>SUM(BT143:CM143)</f>
        <v>2484543368</v>
      </c>
      <c r="BT143" s="129"/>
      <c r="BU143" s="129"/>
      <c r="BV143" s="129"/>
      <c r="BW143" s="129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>
        <f>SUMIF($E$4:$E$132,"520-2",$CG$4:$CG$132)</f>
        <v>451915027</v>
      </c>
      <c r="CH143" s="123"/>
      <c r="CI143" s="123"/>
      <c r="CJ143" s="123">
        <f>SUMIF($E$4:$E$132,"111",$CJ$4:$CJ$132)</f>
        <v>0</v>
      </c>
      <c r="CK143" s="123">
        <f>SUMIF($E$4:$E$132,"520-2",$CK$4:$CK$132)</f>
        <v>2032628341</v>
      </c>
      <c r="CL143" s="123"/>
      <c r="CM143" s="129"/>
      <c r="CN143" s="25">
        <f t="shared" si="184"/>
        <v>0.2199235893249607</v>
      </c>
      <c r="CO143" s="28">
        <f t="shared" si="185"/>
        <v>700456632</v>
      </c>
      <c r="CP143" s="127"/>
      <c r="CQ143" s="127"/>
      <c r="CR143" s="127"/>
      <c r="CS143" s="126"/>
      <c r="CT143" s="126"/>
      <c r="CU143" s="126"/>
      <c r="CV143" s="130"/>
      <c r="CW143" s="130"/>
      <c r="CX143" s="130"/>
      <c r="CY143" s="130"/>
      <c r="CZ143" s="130"/>
      <c r="DA143" s="130"/>
      <c r="DB143" s="130">
        <f>SUMIF($E$4:$E$132,"520-2",$DB$4:$DB$132)</f>
        <v>33084973</v>
      </c>
      <c r="DC143" s="130"/>
      <c r="DD143" s="130"/>
      <c r="DE143" s="130">
        <f>SUMIF($E$4:$E$132,"520-2",$DE$4:$DE$132)</f>
        <v>0</v>
      </c>
      <c r="DF143" s="130">
        <f>SUMIF($E$4:$E$132,"520-2",$DF$4:$DF$132)</f>
        <v>667371659</v>
      </c>
      <c r="DG143" s="130"/>
      <c r="DH143" s="130"/>
      <c r="DJ143" s="29">
        <f t="shared" si="167"/>
        <v>3185000000</v>
      </c>
      <c r="DK143" s="29">
        <f t="shared" si="186"/>
        <v>3185000000</v>
      </c>
      <c r="DL143" s="29">
        <f t="shared" si="187"/>
        <v>3185000000</v>
      </c>
    </row>
    <row r="144" spans="1:116" x14ac:dyDescent="0.25">
      <c r="C144" s="132"/>
      <c r="D144" s="121" t="s">
        <v>380</v>
      </c>
      <c r="E144" s="134"/>
      <c r="F144" s="135"/>
      <c r="G144" s="136">
        <f t="shared" ref="G144:Z144" si="188">SUM(G137:G143)</f>
        <v>22305623027</v>
      </c>
      <c r="H144" s="136">
        <f t="shared" si="188"/>
        <v>0</v>
      </c>
      <c r="I144" s="136">
        <f t="shared" si="188"/>
        <v>10070925003</v>
      </c>
      <c r="J144" s="136">
        <f t="shared" si="188"/>
        <v>171003327</v>
      </c>
      <c r="K144" s="136">
        <f t="shared" si="188"/>
        <v>1899736650</v>
      </c>
      <c r="L144" s="136">
        <f t="shared" si="188"/>
        <v>138372986</v>
      </c>
      <c r="M144" s="136">
        <f t="shared" si="188"/>
        <v>54387</v>
      </c>
      <c r="N144" s="136">
        <f t="shared" si="188"/>
        <v>30665828</v>
      </c>
      <c r="O144" s="136">
        <f t="shared" si="188"/>
        <v>1940856</v>
      </c>
      <c r="P144" s="136">
        <f t="shared" si="188"/>
        <v>3438802</v>
      </c>
      <c r="Q144" s="136">
        <f t="shared" si="188"/>
        <v>345941457</v>
      </c>
      <c r="R144" s="136">
        <f t="shared" si="188"/>
        <v>2356622849</v>
      </c>
      <c r="S144" s="136">
        <f t="shared" si="188"/>
        <v>1142029623</v>
      </c>
      <c r="T144" s="136">
        <f t="shared" si="188"/>
        <v>486796640</v>
      </c>
      <c r="U144" s="136">
        <f t="shared" si="188"/>
        <v>1060833768</v>
      </c>
      <c r="V144" s="136">
        <f t="shared" si="188"/>
        <v>0</v>
      </c>
      <c r="W144" s="136">
        <f t="shared" si="188"/>
        <v>101970259</v>
      </c>
      <c r="X144" s="136">
        <f t="shared" si="188"/>
        <v>2700000000</v>
      </c>
      <c r="Y144" s="136">
        <f t="shared" si="188"/>
        <v>204741836</v>
      </c>
      <c r="Z144" s="136">
        <f t="shared" si="188"/>
        <v>1590548756</v>
      </c>
      <c r="AA144" s="125">
        <f t="shared" si="178"/>
        <v>0.8233309551035658</v>
      </c>
      <c r="AB144" s="136">
        <f t="shared" ref="AB144:AV144" si="189">SUM(AB137:AB143)</f>
        <v>18364909911</v>
      </c>
      <c r="AC144" s="136">
        <f t="shared" si="189"/>
        <v>0</v>
      </c>
      <c r="AD144" s="136">
        <f t="shared" si="189"/>
        <v>0</v>
      </c>
      <c r="AE144" s="136">
        <f t="shared" si="189"/>
        <v>8241465502</v>
      </c>
      <c r="AF144" s="136">
        <f t="shared" si="189"/>
        <v>149170600</v>
      </c>
      <c r="AG144" s="136">
        <f t="shared" si="189"/>
        <v>1691206893</v>
      </c>
      <c r="AH144" s="136">
        <f t="shared" si="189"/>
        <v>126368270</v>
      </c>
      <c r="AI144" s="136">
        <f t="shared" si="189"/>
        <v>0</v>
      </c>
      <c r="AJ144" s="136">
        <f t="shared" si="189"/>
        <v>0</v>
      </c>
      <c r="AK144" s="136">
        <f t="shared" si="189"/>
        <v>0</v>
      </c>
      <c r="AL144" s="136">
        <f t="shared" si="189"/>
        <v>3438802</v>
      </c>
      <c r="AM144" s="136">
        <f t="shared" si="189"/>
        <v>169852012</v>
      </c>
      <c r="AN144" s="136">
        <f t="shared" si="189"/>
        <v>1917215673</v>
      </c>
      <c r="AO144" s="136">
        <f t="shared" si="189"/>
        <v>1111858722</v>
      </c>
      <c r="AP144" s="136">
        <f t="shared" si="189"/>
        <v>453711667</v>
      </c>
      <c r="AQ144" s="136">
        <f t="shared" si="189"/>
        <v>993740853</v>
      </c>
      <c r="AR144" s="136">
        <f t="shared" si="189"/>
        <v>0</v>
      </c>
      <c r="AS144" s="136">
        <f t="shared" si="189"/>
        <v>85302101</v>
      </c>
      <c r="AT144" s="136">
        <f t="shared" si="189"/>
        <v>2032628341</v>
      </c>
      <c r="AU144" s="136">
        <f t="shared" si="189"/>
        <v>111779461</v>
      </c>
      <c r="AV144" s="136">
        <f t="shared" si="189"/>
        <v>1277171014</v>
      </c>
      <c r="AW144" s="108">
        <f t="shared" si="180"/>
        <v>0.1766690448964342</v>
      </c>
      <c r="AX144" s="137">
        <f t="shared" ref="AX144:BQ144" si="190">SUM(AX137:AX143)</f>
        <v>3940713116</v>
      </c>
      <c r="AY144" s="137">
        <f t="shared" si="190"/>
        <v>0</v>
      </c>
      <c r="AZ144" s="137">
        <f t="shared" si="190"/>
        <v>1829459501</v>
      </c>
      <c r="BA144" s="137">
        <f t="shared" si="190"/>
        <v>21832727</v>
      </c>
      <c r="BB144" s="137">
        <f t="shared" si="190"/>
        <v>208529757</v>
      </c>
      <c r="BC144" s="137">
        <f t="shared" si="190"/>
        <v>12004716</v>
      </c>
      <c r="BD144" s="137">
        <f t="shared" si="190"/>
        <v>54387</v>
      </c>
      <c r="BE144" s="137">
        <f t="shared" si="190"/>
        <v>30665828</v>
      </c>
      <c r="BF144" s="137">
        <f t="shared" si="190"/>
        <v>1940856</v>
      </c>
      <c r="BG144" s="137">
        <f t="shared" si="190"/>
        <v>0</v>
      </c>
      <c r="BH144" s="137">
        <f t="shared" si="190"/>
        <v>176089445</v>
      </c>
      <c r="BI144" s="137">
        <f t="shared" si="190"/>
        <v>439407176</v>
      </c>
      <c r="BJ144" s="137">
        <f t="shared" si="190"/>
        <v>30170901</v>
      </c>
      <c r="BK144" s="137">
        <f t="shared" si="190"/>
        <v>33084973</v>
      </c>
      <c r="BL144" s="137">
        <f t="shared" si="190"/>
        <v>67092915</v>
      </c>
      <c r="BM144" s="137">
        <f t="shared" si="190"/>
        <v>0</v>
      </c>
      <c r="BN144" s="137">
        <f t="shared" si="190"/>
        <v>16668158</v>
      </c>
      <c r="BO144" s="137">
        <f t="shared" si="190"/>
        <v>667371659</v>
      </c>
      <c r="BP144" s="137">
        <f t="shared" si="190"/>
        <v>92962375</v>
      </c>
      <c r="BQ144" s="137">
        <f t="shared" si="190"/>
        <v>313377742</v>
      </c>
      <c r="BR144" s="128">
        <f t="shared" si="182"/>
        <v>0.8233309551035658</v>
      </c>
      <c r="BS144" s="28">
        <f t="shared" ref="BS144:CM144" si="191">SUM(BS137:BS143)</f>
        <v>18364909911</v>
      </c>
      <c r="BT144" s="28">
        <f t="shared" si="191"/>
        <v>0</v>
      </c>
      <c r="BU144" s="28">
        <f t="shared" si="191"/>
        <v>0</v>
      </c>
      <c r="BV144" s="28">
        <f t="shared" si="191"/>
        <v>8241465502</v>
      </c>
      <c r="BW144" s="28">
        <f t="shared" si="191"/>
        <v>149170600</v>
      </c>
      <c r="BX144" s="28">
        <f t="shared" si="191"/>
        <v>1691206893</v>
      </c>
      <c r="BY144" s="28">
        <f t="shared" si="191"/>
        <v>126368270</v>
      </c>
      <c r="BZ144" s="28">
        <f t="shared" si="191"/>
        <v>0</v>
      </c>
      <c r="CA144" s="28">
        <f t="shared" si="191"/>
        <v>0</v>
      </c>
      <c r="CB144" s="28">
        <f t="shared" si="191"/>
        <v>0</v>
      </c>
      <c r="CC144" s="28">
        <f t="shared" si="191"/>
        <v>3438802</v>
      </c>
      <c r="CD144" s="28">
        <f t="shared" si="191"/>
        <v>169852012</v>
      </c>
      <c r="CE144" s="28">
        <f t="shared" si="191"/>
        <v>1917215673</v>
      </c>
      <c r="CF144" s="28">
        <f t="shared" si="191"/>
        <v>1111858722</v>
      </c>
      <c r="CG144" s="28">
        <f t="shared" si="191"/>
        <v>453711667</v>
      </c>
      <c r="CH144" s="28">
        <f t="shared" si="191"/>
        <v>993740853</v>
      </c>
      <c r="CI144" s="28">
        <f t="shared" si="191"/>
        <v>0</v>
      </c>
      <c r="CJ144" s="28">
        <f t="shared" si="191"/>
        <v>85302101</v>
      </c>
      <c r="CK144" s="28">
        <f t="shared" si="191"/>
        <v>2032628341</v>
      </c>
      <c r="CL144" s="28">
        <f t="shared" si="191"/>
        <v>111779461</v>
      </c>
      <c r="CM144" s="28">
        <f t="shared" si="191"/>
        <v>1277171014</v>
      </c>
      <c r="CN144" s="25">
        <f t="shared" si="184"/>
        <v>0.1766690448964342</v>
      </c>
      <c r="CO144" s="136">
        <f t="shared" ref="CO144:DH144" ca="1" si="192">SUM(CO137:CO143)</f>
        <v>3940713116</v>
      </c>
      <c r="CP144" s="136">
        <f t="shared" ca="1" si="192"/>
        <v>0</v>
      </c>
      <c r="CQ144" s="136">
        <f t="shared" si="192"/>
        <v>1829459501</v>
      </c>
      <c r="CR144" s="136">
        <f t="shared" si="192"/>
        <v>21832727</v>
      </c>
      <c r="CS144" s="136">
        <f t="shared" si="192"/>
        <v>208529757</v>
      </c>
      <c r="CT144" s="136">
        <f t="shared" si="192"/>
        <v>12004716</v>
      </c>
      <c r="CU144" s="136">
        <f t="shared" si="192"/>
        <v>54387</v>
      </c>
      <c r="CV144" s="136">
        <f t="shared" si="192"/>
        <v>30665828</v>
      </c>
      <c r="CW144" s="136">
        <f t="shared" si="192"/>
        <v>1940856</v>
      </c>
      <c r="CX144" s="136">
        <f t="shared" si="192"/>
        <v>0</v>
      </c>
      <c r="CY144" s="136">
        <f t="shared" si="192"/>
        <v>176089445</v>
      </c>
      <c r="CZ144" s="136">
        <f t="shared" si="192"/>
        <v>439407176</v>
      </c>
      <c r="DA144" s="136">
        <f t="shared" si="192"/>
        <v>30170901</v>
      </c>
      <c r="DB144" s="136">
        <f t="shared" si="192"/>
        <v>33084973</v>
      </c>
      <c r="DC144" s="136">
        <f t="shared" si="192"/>
        <v>67092915</v>
      </c>
      <c r="DD144" s="136">
        <f t="shared" si="192"/>
        <v>0</v>
      </c>
      <c r="DE144" s="136">
        <f t="shared" si="192"/>
        <v>16668158</v>
      </c>
      <c r="DF144" s="136">
        <f t="shared" si="192"/>
        <v>667371659</v>
      </c>
      <c r="DG144" s="136">
        <f t="shared" si="192"/>
        <v>92962375</v>
      </c>
      <c r="DH144" s="136">
        <f t="shared" si="192"/>
        <v>313377742</v>
      </c>
      <c r="DJ144" s="29">
        <f t="shared" si="167"/>
        <v>22305623027</v>
      </c>
      <c r="DK144" s="29">
        <f t="shared" si="186"/>
        <v>22305623027</v>
      </c>
      <c r="DL144" s="29">
        <f t="shared" ca="1" si="187"/>
        <v>22305623027</v>
      </c>
    </row>
    <row r="145" spans="2:116" x14ac:dyDescent="0.25">
      <c r="C145" s="132"/>
      <c r="D145" s="121" t="s">
        <v>263</v>
      </c>
      <c r="E145" s="138">
        <v>301</v>
      </c>
      <c r="F145" s="122"/>
      <c r="G145" s="123">
        <f>SUMIF($E$4:$E$132,"301",$G$4:$G$132)</f>
        <v>2969123548</v>
      </c>
      <c r="H145" s="124">
        <f>SUMIF($E$4:$E$132,"301",$H$4:$H$132)</f>
        <v>200000000</v>
      </c>
      <c r="I145" s="124">
        <f>SUMIF($E$4:$E$132,"301",$I$4:$I$132)</f>
        <v>453168096</v>
      </c>
      <c r="J145" s="123">
        <f>SUMIF($E$4:$E$132,"301",$J$4:$J$132)</f>
        <v>0</v>
      </c>
      <c r="K145" s="122">
        <f>SUMIF($E$4:$E$132,"301",$K$4:$K$132)</f>
        <v>701280247</v>
      </c>
      <c r="L145" s="122">
        <f>SUMIF($E$4:$E$132,"301",$L$4:$L$132)</f>
        <v>0</v>
      </c>
      <c r="M145" s="122">
        <f>SUMIF($E$4:$E$132,"301",$M$4:$M$132)</f>
        <v>0</v>
      </c>
      <c r="N145" s="122">
        <f>SUMIF($E$4:$E$132,"301",$N$4:$N$132)</f>
        <v>0</v>
      </c>
      <c r="O145" s="122">
        <f>SUMIF($E$4:$E$132,"301",$O$4:$O$132)</f>
        <v>0</v>
      </c>
      <c r="P145" s="122">
        <f>SUMIF($E$4:$E$132,"301",$P$4:$P$132)</f>
        <v>0</v>
      </c>
      <c r="Q145" s="122">
        <f>SUMIF($E$4:$E$132,"301",$Q$4:$Q$132)</f>
        <v>0</v>
      </c>
      <c r="R145" s="122">
        <f>SUMIF($E$4:$E$132,"301",$R$4:$R$132)</f>
        <v>0</v>
      </c>
      <c r="S145" s="122">
        <f>SUMIF($E$4:$E$132,"301",$S$4:$S$132)</f>
        <v>0</v>
      </c>
      <c r="T145" s="122">
        <f>SUMIF($E$4:$E$132,"301",$T$4:$T$132)</f>
        <v>0</v>
      </c>
      <c r="U145" s="122">
        <f>SUMIF($E$4:$E$132,"301",$U$4:$U$132)</f>
        <v>245242997</v>
      </c>
      <c r="V145" s="122">
        <f>SUMIF($E$4:$E$124,"301",$V$4:$V$124)</f>
        <v>1262551657</v>
      </c>
      <c r="W145" s="122"/>
      <c r="X145" s="122">
        <f>SUMIF($E$4:$E$124,"301",$X$4:$X$124)</f>
        <v>0</v>
      </c>
      <c r="Y145" s="122">
        <f>SUMIF($E$4:$E$132,"301",$Y$4:$Y$132)</f>
        <v>0</v>
      </c>
      <c r="Z145" s="122">
        <f>SUMIF($E$4:$E$132,"301",$Z$4:$Z$132)</f>
        <v>106880551</v>
      </c>
      <c r="AA145" s="125">
        <f t="shared" si="178"/>
        <v>0.92275936238676182</v>
      </c>
      <c r="AB145" s="28">
        <f>SUM(AD145:AV145)</f>
        <v>2739786552</v>
      </c>
      <c r="AC145" s="123">
        <f>SUMIF($E$4:$E$132,"301",$AC$4:$AC$132)</f>
        <v>0</v>
      </c>
      <c r="AD145" s="123">
        <f>SUMIF($E$4:$E$132,"301",$AD$4:$AD$132)</f>
        <v>193150942</v>
      </c>
      <c r="AE145" s="123">
        <f>SUMIF($E$4:$E$132,"301",$AE$4:$AE$132)</f>
        <v>377850665</v>
      </c>
      <c r="AF145" s="123">
        <f>SUMIF($E$4:$E$132,"301",$AF$4:$AF$132)</f>
        <v>0</v>
      </c>
      <c r="AG145" s="123">
        <f>SUMIF($E$4:$E$132,"301",$AG$4:$AG$132)</f>
        <v>631775394</v>
      </c>
      <c r="AH145" s="123">
        <f>SUMIF($E$4:$E$132,"301",$AH$4:$AH$132)</f>
        <v>0</v>
      </c>
      <c r="AI145" s="123">
        <f>SUMIF($E$4:$E$132,"301",$AI$4:$AI$132)</f>
        <v>0</v>
      </c>
      <c r="AJ145" s="123">
        <f>SUMIF($E$4:$E$132,"301",$AJ$4:$AJ$132)</f>
        <v>0</v>
      </c>
      <c r="AK145" s="123">
        <f>SUMIF($E$4:$E$132,"301",$AK$4:$AK$132)</f>
        <v>0</v>
      </c>
      <c r="AL145" s="123">
        <f>SUMIF($E$4:$E$132,"301",$AL$4:$AL$132)</f>
        <v>0</v>
      </c>
      <c r="AM145" s="123">
        <f>SUMIF($E$4:$E$132,"301",$AM$4:$AM$132)</f>
        <v>0</v>
      </c>
      <c r="AN145" s="123">
        <f>SUMIF($E$4:$E$132,"301",$AN$4:$AN$132)</f>
        <v>0</v>
      </c>
      <c r="AO145" s="123">
        <f>SUMIF($E$4:$E$132,"301",$AO$4:$AO$132)</f>
        <v>0</v>
      </c>
      <c r="AP145" s="123">
        <f>SUMIF($E$4:$E$132,"301",$AP$4:$AP$132)</f>
        <v>0</v>
      </c>
      <c r="AQ145" s="123">
        <f>SUMIF($E$4:$E$132,"301",$AQ$4:$AQ$132)</f>
        <v>231437005</v>
      </c>
      <c r="AR145" s="123">
        <f>SUMIF($E$4:$E$132,"301",$AR$4:$AR$132)</f>
        <v>1205496037</v>
      </c>
      <c r="AS145" s="123">
        <f>SUMIF($E$4:$E$132,"301",$AS$4:$AS$132)</f>
        <v>0</v>
      </c>
      <c r="AT145" s="123">
        <f>SUMIF($E$4:$E$132,"301",$AT$4:$AT$132)</f>
        <v>0</v>
      </c>
      <c r="AU145" s="123">
        <f>SUMIF($E$4:$E$132,"301",$AU$4:$AU$132)</f>
        <v>0</v>
      </c>
      <c r="AV145" s="123">
        <f>SUMIF($E$4:$E$132,"301",$AV$4:$AV$132)</f>
        <v>100076509</v>
      </c>
      <c r="AW145" s="108">
        <f t="shared" si="180"/>
        <v>7.7240637613238183E-2</v>
      </c>
      <c r="AX145" s="28">
        <f>SUM(AY145:BQ145)</f>
        <v>229336996</v>
      </c>
      <c r="AY145" s="126">
        <f>SUMIF($E$4:$E$132,"301",$AY$4:$AY$132)</f>
        <v>6849058</v>
      </c>
      <c r="AZ145" s="126">
        <f>SUMIF($E$4:$E$132,"301",$AZ$4:$AZ$132)</f>
        <v>75317431</v>
      </c>
      <c r="BA145" s="126">
        <f>SUMIF($E$4:$E$132,"301",$BA$4:$BA$132)</f>
        <v>0</v>
      </c>
      <c r="BB145" s="126">
        <f>SUMIF($E$4:$E$132,"301",$BB$4:$BB$132)</f>
        <v>69504853</v>
      </c>
      <c r="BC145" s="126">
        <f>SUMIF($E$4:$E$132,"301",$BC$4:$BC$132)</f>
        <v>0</v>
      </c>
      <c r="BD145" s="126">
        <f>SUMIF($E$4:$E$132,"301",$BD$4:$BD$132)</f>
        <v>0</v>
      </c>
      <c r="BE145" s="126">
        <f>SUMIF($E$4:$E$132,"301",$BE$4:$BE$132)</f>
        <v>0</v>
      </c>
      <c r="BF145" s="126">
        <f>SUMIF($E$4:$E$132,"301",$BF$4:$BF$132)</f>
        <v>0</v>
      </c>
      <c r="BG145" s="126">
        <f>SUMIF($E$4:$E$132,"301",$BG$4:$BG$132)</f>
        <v>0</v>
      </c>
      <c r="BH145" s="126">
        <f>SUMIF($E$4:$E$132,"301",$BH$4:$BH$132)</f>
        <v>0</v>
      </c>
      <c r="BI145" s="126">
        <f>SUMIF($E$4:$E$132,"301",$BI$4:$BI$132)</f>
        <v>0</v>
      </c>
      <c r="BJ145" s="126">
        <f>SUMIF($E$4:$E$132,"301",$BJ$4:$BJ$132)</f>
        <v>0</v>
      </c>
      <c r="BK145" s="126">
        <f>SUMIF($E$4:$E$132,"301",$BK$4:$BK$132)</f>
        <v>0</v>
      </c>
      <c r="BL145" s="126">
        <f>SUMIF($E$4:$E$132,"301",$BL$4:$BL$132)</f>
        <v>13805992</v>
      </c>
      <c r="BM145" s="126">
        <f>SUMIF($E$4:$E$132,"301",$BM$4:$BM$132)</f>
        <v>57055620</v>
      </c>
      <c r="BN145" s="126"/>
      <c r="BO145" s="126">
        <f>SUMIF($E$4:$E$132,"301",$BO$4:$BO$132)</f>
        <v>0</v>
      </c>
      <c r="BP145" s="126"/>
      <c r="BQ145" s="127">
        <f>SUMIF($E$4:$E$132,"301",$BQ$4:$BQ$132)</f>
        <v>6804042</v>
      </c>
      <c r="BR145" s="128">
        <f t="shared" si="182"/>
        <v>0.92275936238676182</v>
      </c>
      <c r="BS145" s="28">
        <f>SUM(BU145:CM145)</f>
        <v>2739786552</v>
      </c>
      <c r="BT145" s="123">
        <f>SUMIF($E$4:$E$132,"111",$BT$4:$BT$132)</f>
        <v>0</v>
      </c>
      <c r="BU145" s="123">
        <f>SUMIF($E$4:$E$132,"301",$BU$4:$BU$132)</f>
        <v>193150942</v>
      </c>
      <c r="BV145" s="123">
        <f>SUMIF($E$4:$E$132,"301",$BV$4:$BV$132)</f>
        <v>377850665</v>
      </c>
      <c r="BW145" s="123">
        <f>SUMIF($E$4:$E$132,"301",$BW$4:$BW$132)</f>
        <v>0</v>
      </c>
      <c r="BX145" s="123">
        <f>SUMIF($E$4:$E$132,"301",$BX$4:$BX$132)</f>
        <v>631775394</v>
      </c>
      <c r="BY145" s="123">
        <f>SUMIF($E$4:$E$132,"301",$BY$4:$BY$132)</f>
        <v>0</v>
      </c>
      <c r="BZ145" s="123">
        <f>SUMIF($E$4:$E$132,"301",$BZ$4:$BZ$132)</f>
        <v>0</v>
      </c>
      <c r="CA145" s="123">
        <f>SUMIF($E$4:$E$132,"301",$CA$4:$CA$132)</f>
        <v>0</v>
      </c>
      <c r="CB145" s="123">
        <f>SUMIF($E$4:$E$132,"301",$CB$4:$CB$132)</f>
        <v>0</v>
      </c>
      <c r="CC145" s="123">
        <f>SUMIF($E$4:$E$132,"301",$CC$4:$CC$132)</f>
        <v>0</v>
      </c>
      <c r="CD145" s="123">
        <f>SUMIF($E$4:$E$132,"301",$CD$4:$CD$132)</f>
        <v>0</v>
      </c>
      <c r="CE145" s="123">
        <f>SUMIF($E$4:$E$132,"301",$CE$4:$CE$132)</f>
        <v>0</v>
      </c>
      <c r="CF145" s="123">
        <f>SUMIF($E$4:$E$132,"301",$CF$4:$CF$132)</f>
        <v>0</v>
      </c>
      <c r="CG145" s="123">
        <f>SUMIF($E$4:$E$132,"301",$CG$4:$CG$132)</f>
        <v>0</v>
      </c>
      <c r="CH145" s="123">
        <f>SUMIF($E$4:$E$132,"301",$CH$4:$CH$132)</f>
        <v>231437005</v>
      </c>
      <c r="CI145" s="123">
        <f>SUMIF($E$4:$E$132,"301",$CI$4:$CI$132)</f>
        <v>1205496037</v>
      </c>
      <c r="CJ145" s="123">
        <f>SUMIF($E$4:$E$132,"301",$CJ$4:$CJ$132)</f>
        <v>0</v>
      </c>
      <c r="CK145" s="123">
        <f>SUMIF($E$4:$E$132,"301",$CK$4:$CK$132)</f>
        <v>0</v>
      </c>
      <c r="CL145" s="123">
        <f>SUMIF($E$4:$E$132,"301",$CL$4:$CL$132)</f>
        <v>0</v>
      </c>
      <c r="CM145" s="129">
        <f>SUMIF($E$4:$E$132,"301",$CM$4:$CM$132)</f>
        <v>100076509</v>
      </c>
      <c r="CN145" s="25">
        <f t="shared" si="184"/>
        <v>7.7240637613238183E-2</v>
      </c>
      <c r="CO145" s="28">
        <f>SUM(CP145:DH145)</f>
        <v>229336996</v>
      </c>
      <c r="CP145" s="126">
        <f>SUMIF($E$4:$E$132,"301",$CP$4:$CP$132)</f>
        <v>6849058</v>
      </c>
      <c r="CQ145" s="126">
        <f>SUMIF($E$4:$E$132,"301",$CQ$4:$CQ$132)</f>
        <v>75317431</v>
      </c>
      <c r="CR145" s="126">
        <f>SUMIF($E$4:$E$132,"301",$CR$4:$CR$132)</f>
        <v>0</v>
      </c>
      <c r="CS145" s="126">
        <f>SUMIF($E$4:$E$132,"301",$CS$4:$CS$132)</f>
        <v>69504853</v>
      </c>
      <c r="CT145" s="126">
        <f>SUMIF($E$4:$E$132,"301",$CT$4:$CT$132)</f>
        <v>0</v>
      </c>
      <c r="CU145" s="126">
        <f>SUMIF($E$4:$E$132,"301",$CU$4:$CU$132)</f>
        <v>0</v>
      </c>
      <c r="CV145" s="130">
        <f>SUMIF($E$4:$E$132,"301",$CV$4:$CV$132)</f>
        <v>0</v>
      </c>
      <c r="CW145" s="130">
        <f>SUMIF($E$4:$E$132,"301",$CW$4:$CW$132)</f>
        <v>0</v>
      </c>
      <c r="CX145" s="130">
        <f>SUMIF($E$4:$E$132,"301",$CX$4:$CX$132)</f>
        <v>0</v>
      </c>
      <c r="CY145" s="130">
        <f>SUMIF($E$4:$E$132,"301",$CY$4:$CY$132)</f>
        <v>0</v>
      </c>
      <c r="CZ145" s="130">
        <f>SUMIF($E$4:$E$132,"301",$CZ$4:$CZ$132)</f>
        <v>0</v>
      </c>
      <c r="DA145" s="130">
        <f>SUMIF($E$4:$E$132,"301",$DA$4:$DA$132)</f>
        <v>0</v>
      </c>
      <c r="DB145" s="130">
        <f>SUMIF($E$4:$E$132,"301",$DB$4:$DB$132)</f>
        <v>0</v>
      </c>
      <c r="DC145" s="130">
        <f>SUMIF($E$4:$E$132,"301",$DC$4:$DC$132)</f>
        <v>13805992</v>
      </c>
      <c r="DD145" s="130">
        <f>SUMIF($E$4:$E$132,"301",$DD$4:$DD$132)</f>
        <v>57055620</v>
      </c>
      <c r="DE145" s="130">
        <f>SUMIF($E$4:$E$132,"301",$DE$4:$DE$132)</f>
        <v>0</v>
      </c>
      <c r="DF145" s="130">
        <f>SUMIF($E$4:$E$132,"301",$DF$4:$DF$132)</f>
        <v>0</v>
      </c>
      <c r="DG145" s="130">
        <f>SUMIF($E$4:$E$132,"301",$DG$4:$DG$132)</f>
        <v>0</v>
      </c>
      <c r="DH145" s="130">
        <f>SUMIF($E$4:$E$132,"301",$DH$4:$DH$132)</f>
        <v>6804042</v>
      </c>
      <c r="DJ145" s="29">
        <f t="shared" si="167"/>
        <v>2969123548</v>
      </c>
      <c r="DK145" s="29">
        <f t="shared" si="186"/>
        <v>2969123548</v>
      </c>
      <c r="DL145" s="29">
        <f t="shared" si="187"/>
        <v>2969123548</v>
      </c>
    </row>
    <row r="146" spans="2:116" ht="15.75" thickBot="1" x14ac:dyDescent="0.3">
      <c r="C146" s="266" t="s">
        <v>381</v>
      </c>
      <c r="D146" s="267"/>
      <c r="E146" s="139"/>
      <c r="F146" s="140"/>
      <c r="G146" s="141">
        <f t="shared" ref="G146:Z146" si="193">SUM(G144:G145)</f>
        <v>25274746575</v>
      </c>
      <c r="H146" s="141">
        <f t="shared" si="193"/>
        <v>200000000</v>
      </c>
      <c r="I146" s="141">
        <f t="shared" si="193"/>
        <v>10524093099</v>
      </c>
      <c r="J146" s="141">
        <f t="shared" si="193"/>
        <v>171003327</v>
      </c>
      <c r="K146" s="141">
        <f t="shared" si="193"/>
        <v>2601016897</v>
      </c>
      <c r="L146" s="141">
        <f t="shared" si="193"/>
        <v>138372986</v>
      </c>
      <c r="M146" s="141">
        <f t="shared" si="193"/>
        <v>54387</v>
      </c>
      <c r="N146" s="141">
        <f t="shared" si="193"/>
        <v>30665828</v>
      </c>
      <c r="O146" s="141">
        <f t="shared" si="193"/>
        <v>1940856</v>
      </c>
      <c r="P146" s="141">
        <f t="shared" si="193"/>
        <v>3438802</v>
      </c>
      <c r="Q146" s="141">
        <f t="shared" si="193"/>
        <v>345941457</v>
      </c>
      <c r="R146" s="141">
        <f t="shared" si="193"/>
        <v>2356622849</v>
      </c>
      <c r="S146" s="141">
        <f t="shared" si="193"/>
        <v>1142029623</v>
      </c>
      <c r="T146" s="142">
        <f t="shared" si="193"/>
        <v>486796640</v>
      </c>
      <c r="U146" s="141">
        <f t="shared" si="193"/>
        <v>1306076765</v>
      </c>
      <c r="V146" s="141">
        <f t="shared" si="193"/>
        <v>1262551657</v>
      </c>
      <c r="W146" s="141">
        <f t="shared" si="193"/>
        <v>101970259</v>
      </c>
      <c r="X146" s="141">
        <f t="shared" si="193"/>
        <v>2700000000</v>
      </c>
      <c r="Y146" s="141">
        <f t="shared" si="193"/>
        <v>204741836</v>
      </c>
      <c r="Z146" s="141">
        <f t="shared" si="193"/>
        <v>1697429307</v>
      </c>
      <c r="AA146" s="143">
        <f t="shared" si="178"/>
        <v>0.83501119983039829</v>
      </c>
      <c r="AB146" s="144">
        <f t="shared" ref="AB146:AV146" si="194">AB144+AB145</f>
        <v>21104696463</v>
      </c>
      <c r="AC146" s="144">
        <f t="shared" si="194"/>
        <v>0</v>
      </c>
      <c r="AD146" s="144">
        <f t="shared" si="194"/>
        <v>193150942</v>
      </c>
      <c r="AE146" s="144">
        <f t="shared" si="194"/>
        <v>8619316167</v>
      </c>
      <c r="AF146" s="144">
        <f t="shared" si="194"/>
        <v>149170600</v>
      </c>
      <c r="AG146" s="144">
        <f t="shared" si="194"/>
        <v>2322982287</v>
      </c>
      <c r="AH146" s="144">
        <f t="shared" si="194"/>
        <v>126368270</v>
      </c>
      <c r="AI146" s="144">
        <f t="shared" si="194"/>
        <v>0</v>
      </c>
      <c r="AJ146" s="144">
        <f t="shared" si="194"/>
        <v>0</v>
      </c>
      <c r="AK146" s="144">
        <f t="shared" si="194"/>
        <v>0</v>
      </c>
      <c r="AL146" s="144">
        <f t="shared" si="194"/>
        <v>3438802</v>
      </c>
      <c r="AM146" s="144">
        <f t="shared" si="194"/>
        <v>169852012</v>
      </c>
      <c r="AN146" s="144">
        <f t="shared" si="194"/>
        <v>1917215673</v>
      </c>
      <c r="AO146" s="144">
        <f t="shared" si="194"/>
        <v>1111858722</v>
      </c>
      <c r="AP146" s="144">
        <f t="shared" si="194"/>
        <v>453711667</v>
      </c>
      <c r="AQ146" s="144">
        <f t="shared" si="194"/>
        <v>1225177858</v>
      </c>
      <c r="AR146" s="144">
        <f t="shared" si="194"/>
        <v>1205496037</v>
      </c>
      <c r="AS146" s="144">
        <f t="shared" si="194"/>
        <v>85302101</v>
      </c>
      <c r="AT146" s="144">
        <f t="shared" si="194"/>
        <v>2032628341</v>
      </c>
      <c r="AU146" s="144">
        <f t="shared" si="194"/>
        <v>111779461</v>
      </c>
      <c r="AV146" s="144">
        <f t="shared" si="194"/>
        <v>1377247523</v>
      </c>
      <c r="AW146" s="158">
        <f t="shared" si="180"/>
        <v>0.16498880016960171</v>
      </c>
      <c r="AX146" s="144">
        <f>AX144+AX145</f>
        <v>4170050112</v>
      </c>
      <c r="AY146" s="144">
        <f>AY144+AY145</f>
        <v>6849058</v>
      </c>
      <c r="AZ146" s="145">
        <f t="shared" ref="AZ146:BQ146" si="195">+AZ144+AZ145</f>
        <v>1904776932</v>
      </c>
      <c r="BA146" s="145">
        <f t="shared" si="195"/>
        <v>21832727</v>
      </c>
      <c r="BB146" s="145">
        <f t="shared" si="195"/>
        <v>278034610</v>
      </c>
      <c r="BC146" s="145">
        <f t="shared" si="195"/>
        <v>12004716</v>
      </c>
      <c r="BD146" s="145">
        <f t="shared" si="195"/>
        <v>54387</v>
      </c>
      <c r="BE146" s="145">
        <f t="shared" si="195"/>
        <v>30665828</v>
      </c>
      <c r="BF146" s="145">
        <f t="shared" si="195"/>
        <v>1940856</v>
      </c>
      <c r="BG146" s="145">
        <f t="shared" si="195"/>
        <v>0</v>
      </c>
      <c r="BH146" s="145">
        <f t="shared" si="195"/>
        <v>176089445</v>
      </c>
      <c r="BI146" s="145">
        <f t="shared" si="195"/>
        <v>439407176</v>
      </c>
      <c r="BJ146" s="145">
        <f t="shared" si="195"/>
        <v>30170901</v>
      </c>
      <c r="BK146" s="145">
        <f t="shared" si="195"/>
        <v>33084973</v>
      </c>
      <c r="BL146" s="145">
        <f t="shared" si="195"/>
        <v>80898907</v>
      </c>
      <c r="BM146" s="145">
        <f t="shared" si="195"/>
        <v>57055620</v>
      </c>
      <c r="BN146" s="145">
        <f t="shared" si="195"/>
        <v>16668158</v>
      </c>
      <c r="BO146" s="145">
        <f t="shared" si="195"/>
        <v>667371659</v>
      </c>
      <c r="BP146" s="145">
        <f t="shared" si="195"/>
        <v>92962375</v>
      </c>
      <c r="BQ146" s="145">
        <f t="shared" si="195"/>
        <v>320181784</v>
      </c>
      <c r="BR146" s="146">
        <f t="shared" si="182"/>
        <v>0.83501119983039829</v>
      </c>
      <c r="BS146" s="147">
        <f>+BS144+BS145</f>
        <v>21104696463</v>
      </c>
      <c r="BT146" s="145">
        <f>+BT144+BT145</f>
        <v>0</v>
      </c>
      <c r="BU146" s="145">
        <f>+BU144+BU145</f>
        <v>193150942</v>
      </c>
      <c r="BV146" s="145">
        <f>+BV144+BV145</f>
        <v>8619316167</v>
      </c>
      <c r="BW146" s="145">
        <f>+BW144+BW145</f>
        <v>149170600</v>
      </c>
      <c r="BX146" s="141">
        <f t="shared" ref="BX146:CM146" si="196">SUM(BX144:BX145)</f>
        <v>2322982287</v>
      </c>
      <c r="BY146" s="141">
        <f t="shared" si="196"/>
        <v>126368270</v>
      </c>
      <c r="BZ146" s="141">
        <f t="shared" si="196"/>
        <v>0</v>
      </c>
      <c r="CA146" s="141">
        <f t="shared" si="196"/>
        <v>0</v>
      </c>
      <c r="CB146" s="141">
        <f t="shared" si="196"/>
        <v>0</v>
      </c>
      <c r="CC146" s="141">
        <f t="shared" si="196"/>
        <v>3438802</v>
      </c>
      <c r="CD146" s="141">
        <f t="shared" si="196"/>
        <v>169852012</v>
      </c>
      <c r="CE146" s="141">
        <f t="shared" si="196"/>
        <v>1917215673</v>
      </c>
      <c r="CF146" s="141">
        <f t="shared" si="196"/>
        <v>1111858722</v>
      </c>
      <c r="CG146" s="141">
        <f t="shared" si="196"/>
        <v>453711667</v>
      </c>
      <c r="CH146" s="141">
        <f t="shared" si="196"/>
        <v>1225177858</v>
      </c>
      <c r="CI146" s="141">
        <f t="shared" si="196"/>
        <v>1205496037</v>
      </c>
      <c r="CJ146" s="141">
        <f t="shared" si="196"/>
        <v>85302101</v>
      </c>
      <c r="CK146" s="141">
        <f t="shared" si="196"/>
        <v>2032628341</v>
      </c>
      <c r="CL146" s="141">
        <f t="shared" si="196"/>
        <v>111779461</v>
      </c>
      <c r="CM146" s="148">
        <f t="shared" si="196"/>
        <v>1377247523</v>
      </c>
      <c r="CN146" s="149">
        <f t="shared" si="184"/>
        <v>0.16498880016960171</v>
      </c>
      <c r="CO146" s="141">
        <f t="shared" ref="CO146:DH146" ca="1" si="197">SUM(CO144:CO145)</f>
        <v>4170050112</v>
      </c>
      <c r="CP146" s="148">
        <f t="shared" ca="1" si="197"/>
        <v>6849058</v>
      </c>
      <c r="CQ146" s="148">
        <f t="shared" si="197"/>
        <v>1904776932</v>
      </c>
      <c r="CR146" s="148">
        <f t="shared" si="197"/>
        <v>21832727</v>
      </c>
      <c r="CS146" s="141">
        <f t="shared" si="197"/>
        <v>278034610</v>
      </c>
      <c r="CT146" s="141">
        <f t="shared" si="197"/>
        <v>12004716</v>
      </c>
      <c r="CU146" s="141">
        <f t="shared" si="197"/>
        <v>54387</v>
      </c>
      <c r="CV146" s="150">
        <f t="shared" si="197"/>
        <v>30665828</v>
      </c>
      <c r="CW146" s="150">
        <f t="shared" si="197"/>
        <v>1940856</v>
      </c>
      <c r="CX146" s="150">
        <f t="shared" si="197"/>
        <v>0</v>
      </c>
      <c r="CY146" s="150">
        <f t="shared" si="197"/>
        <v>176089445</v>
      </c>
      <c r="CZ146" s="150">
        <f t="shared" si="197"/>
        <v>439407176</v>
      </c>
      <c r="DA146" s="150">
        <f t="shared" si="197"/>
        <v>30170901</v>
      </c>
      <c r="DB146" s="150">
        <f t="shared" si="197"/>
        <v>33084973</v>
      </c>
      <c r="DC146" s="150">
        <f t="shared" si="197"/>
        <v>80898907</v>
      </c>
      <c r="DD146" s="150">
        <f t="shared" si="197"/>
        <v>57055620</v>
      </c>
      <c r="DE146" s="150">
        <f t="shared" si="197"/>
        <v>16668158</v>
      </c>
      <c r="DF146" s="150">
        <f t="shared" si="197"/>
        <v>667371659</v>
      </c>
      <c r="DG146" s="150">
        <f t="shared" si="197"/>
        <v>92962375</v>
      </c>
      <c r="DH146" s="150">
        <f t="shared" si="197"/>
        <v>320181784</v>
      </c>
      <c r="DJ146" s="29">
        <f t="shared" si="167"/>
        <v>25274746575</v>
      </c>
      <c r="DK146" s="29">
        <f t="shared" si="186"/>
        <v>25274746575</v>
      </c>
      <c r="DL146" s="29">
        <f t="shared" ca="1" si="187"/>
        <v>25274746575</v>
      </c>
    </row>
    <row r="147" spans="2:116" ht="15.75" thickTop="1" x14ac:dyDescent="0.25">
      <c r="G147" s="52">
        <f>+G135-G146</f>
        <v>0</v>
      </c>
      <c r="H147" s="52">
        <f t="shared" ref="H147:V147" si="198">+H135-H146</f>
        <v>0</v>
      </c>
      <c r="I147" s="52">
        <f t="shared" si="198"/>
        <v>0</v>
      </c>
      <c r="J147" s="52">
        <f t="shared" si="198"/>
        <v>0</v>
      </c>
      <c r="K147" s="52">
        <f t="shared" si="198"/>
        <v>0</v>
      </c>
      <c r="L147" s="52">
        <f t="shared" si="198"/>
        <v>0</v>
      </c>
      <c r="M147" s="52">
        <f t="shared" si="198"/>
        <v>0</v>
      </c>
      <c r="N147" s="52">
        <f t="shared" si="198"/>
        <v>0</v>
      </c>
      <c r="O147" s="52">
        <f t="shared" si="198"/>
        <v>0</v>
      </c>
      <c r="P147" s="52">
        <f t="shared" si="198"/>
        <v>0</v>
      </c>
      <c r="Q147" s="52">
        <f t="shared" si="198"/>
        <v>0</v>
      </c>
      <c r="R147" s="52">
        <f t="shared" si="198"/>
        <v>0</v>
      </c>
      <c r="S147" s="52">
        <f t="shared" si="198"/>
        <v>0</v>
      </c>
      <c r="T147" s="52">
        <f t="shared" si="198"/>
        <v>0</v>
      </c>
      <c r="U147" s="52">
        <f t="shared" si="198"/>
        <v>0</v>
      </c>
      <c r="V147" s="52">
        <f t="shared" si="198"/>
        <v>0</v>
      </c>
      <c r="W147" s="52"/>
      <c r="X147" s="52">
        <f>+X135-X146</f>
        <v>0</v>
      </c>
      <c r="Y147" s="52">
        <f>+Y135-Y146</f>
        <v>0</v>
      </c>
      <c r="Z147" s="52">
        <f>+Z135-Z146</f>
        <v>0</v>
      </c>
      <c r="AB147" s="52">
        <f t="shared" ref="AB147:AR147" si="199">+AB135-AB146</f>
        <v>0</v>
      </c>
      <c r="AC147" s="52">
        <f t="shared" si="199"/>
        <v>0</v>
      </c>
      <c r="AD147" s="52">
        <f t="shared" si="199"/>
        <v>0</v>
      </c>
      <c r="AE147" s="52">
        <f t="shared" si="199"/>
        <v>0</v>
      </c>
      <c r="AF147" s="52">
        <f t="shared" si="199"/>
        <v>0</v>
      </c>
      <c r="AG147" s="52">
        <f t="shared" si="199"/>
        <v>0</v>
      </c>
      <c r="AH147" s="52">
        <f t="shared" si="199"/>
        <v>0</v>
      </c>
      <c r="AI147" s="52">
        <f t="shared" si="199"/>
        <v>0</v>
      </c>
      <c r="AJ147" s="52">
        <f t="shared" si="199"/>
        <v>0</v>
      </c>
      <c r="AK147" s="52">
        <f t="shared" si="199"/>
        <v>0</v>
      </c>
      <c r="AL147" s="52">
        <f t="shared" si="199"/>
        <v>0</v>
      </c>
      <c r="AM147" s="52">
        <f t="shared" si="199"/>
        <v>0</v>
      </c>
      <c r="AN147" s="52">
        <f t="shared" si="199"/>
        <v>0</v>
      </c>
      <c r="AO147" s="52">
        <f t="shared" si="199"/>
        <v>0</v>
      </c>
      <c r="AP147" s="52">
        <f t="shared" si="199"/>
        <v>0</v>
      </c>
      <c r="AQ147" s="52">
        <f t="shared" si="199"/>
        <v>0</v>
      </c>
      <c r="AR147" s="52">
        <f t="shared" si="199"/>
        <v>0</v>
      </c>
      <c r="AS147" s="52"/>
      <c r="AT147" s="52">
        <f>+AT135-AT146</f>
        <v>0</v>
      </c>
      <c r="AU147" s="52">
        <f>+AU135-AU146</f>
        <v>0</v>
      </c>
      <c r="AV147" s="52">
        <f>+AV135-AV146</f>
        <v>0</v>
      </c>
      <c r="AX147" s="52">
        <f>+AX135-AX146</f>
        <v>0</v>
      </c>
      <c r="AY147" s="52">
        <f t="shared" ref="AY147:BM147" si="200">+AY135-AY146</f>
        <v>0</v>
      </c>
      <c r="AZ147" s="52">
        <f t="shared" si="200"/>
        <v>0</v>
      </c>
      <c r="BA147" s="52">
        <f t="shared" si="200"/>
        <v>0</v>
      </c>
      <c r="BB147" s="52">
        <f t="shared" si="200"/>
        <v>0</v>
      </c>
      <c r="BC147" s="52">
        <f t="shared" si="200"/>
        <v>0</v>
      </c>
      <c r="BD147" s="52">
        <f t="shared" si="200"/>
        <v>0</v>
      </c>
      <c r="BE147" s="52">
        <f t="shared" si="200"/>
        <v>0</v>
      </c>
      <c r="BF147" s="52">
        <f t="shared" si="200"/>
        <v>0</v>
      </c>
      <c r="BG147" s="52">
        <f t="shared" si="200"/>
        <v>0</v>
      </c>
      <c r="BH147" s="52">
        <f t="shared" si="200"/>
        <v>0</v>
      </c>
      <c r="BI147" s="52">
        <f t="shared" si="200"/>
        <v>0</v>
      </c>
      <c r="BJ147" s="52">
        <f t="shared" si="200"/>
        <v>0</v>
      </c>
      <c r="BK147" s="52">
        <f t="shared" si="200"/>
        <v>0</v>
      </c>
      <c r="BL147" s="52">
        <f t="shared" si="200"/>
        <v>0</v>
      </c>
      <c r="BM147" s="52">
        <f t="shared" si="200"/>
        <v>0</v>
      </c>
      <c r="BN147" s="52"/>
      <c r="BO147" s="52">
        <f>+BO135-BO146</f>
        <v>0</v>
      </c>
      <c r="BP147" s="52">
        <f>+BP135-BP146</f>
        <v>0</v>
      </c>
      <c r="BQ147" s="52">
        <f>+BQ135-BQ146</f>
        <v>0</v>
      </c>
      <c r="BS147" s="52">
        <f>+BS135-BS146</f>
        <v>0</v>
      </c>
      <c r="BT147" s="52"/>
      <c r="BU147" s="52">
        <f t="shared" ref="BU147:CM147" si="201">+BU135-BU146</f>
        <v>0</v>
      </c>
      <c r="BV147" s="52">
        <f t="shared" si="201"/>
        <v>0</v>
      </c>
      <c r="BW147" s="52">
        <f t="shared" si="201"/>
        <v>0</v>
      </c>
      <c r="BX147" s="52">
        <f t="shared" si="201"/>
        <v>0</v>
      </c>
      <c r="BY147" s="52">
        <f t="shared" si="201"/>
        <v>0</v>
      </c>
      <c r="BZ147" s="52">
        <f t="shared" si="201"/>
        <v>0</v>
      </c>
      <c r="CA147" s="52">
        <f t="shared" si="201"/>
        <v>0</v>
      </c>
      <c r="CB147" s="52">
        <f t="shared" si="201"/>
        <v>0</v>
      </c>
      <c r="CC147" s="52">
        <f t="shared" si="201"/>
        <v>0</v>
      </c>
      <c r="CD147" s="52">
        <f t="shared" si="201"/>
        <v>0</v>
      </c>
      <c r="CE147" s="52">
        <f t="shared" si="201"/>
        <v>0</v>
      </c>
      <c r="CF147" s="52">
        <f t="shared" si="201"/>
        <v>0</v>
      </c>
      <c r="CG147" s="52">
        <f t="shared" si="201"/>
        <v>0</v>
      </c>
      <c r="CH147" s="52">
        <f t="shared" si="201"/>
        <v>0</v>
      </c>
      <c r="CI147" s="52">
        <f t="shared" si="201"/>
        <v>0</v>
      </c>
      <c r="CJ147" s="52">
        <f t="shared" si="201"/>
        <v>0</v>
      </c>
      <c r="CK147" s="52">
        <f t="shared" si="201"/>
        <v>0</v>
      </c>
      <c r="CL147" s="52">
        <f t="shared" si="201"/>
        <v>0</v>
      </c>
      <c r="CM147" s="52">
        <f t="shared" si="201"/>
        <v>0</v>
      </c>
      <c r="CN147" s="52"/>
      <c r="CO147" s="52">
        <f ca="1">+CO135-CO146</f>
        <v>0</v>
      </c>
      <c r="CP147" s="52">
        <f t="shared" ref="CP147:DH147" ca="1" si="202">+CP135-CP146</f>
        <v>0</v>
      </c>
      <c r="CQ147" s="52">
        <f t="shared" si="202"/>
        <v>0</v>
      </c>
      <c r="CR147" s="52">
        <f t="shared" si="202"/>
        <v>0</v>
      </c>
      <c r="CS147" s="52">
        <f t="shared" si="202"/>
        <v>0</v>
      </c>
      <c r="CT147" s="52">
        <f t="shared" si="202"/>
        <v>0</v>
      </c>
      <c r="CU147" s="52">
        <f t="shared" si="202"/>
        <v>0</v>
      </c>
      <c r="CV147" s="52">
        <f t="shared" si="202"/>
        <v>0</v>
      </c>
      <c r="CW147" s="52">
        <f t="shared" si="202"/>
        <v>0</v>
      </c>
      <c r="CX147" s="52">
        <f t="shared" si="202"/>
        <v>0</v>
      </c>
      <c r="CY147" s="52">
        <f t="shared" si="202"/>
        <v>0</v>
      </c>
      <c r="CZ147" s="52">
        <f t="shared" si="202"/>
        <v>0</v>
      </c>
      <c r="DA147" s="52">
        <f t="shared" si="202"/>
        <v>0</v>
      </c>
      <c r="DB147" s="52">
        <f t="shared" si="202"/>
        <v>0</v>
      </c>
      <c r="DC147" s="52">
        <f t="shared" si="202"/>
        <v>0</v>
      </c>
      <c r="DD147" s="52">
        <f t="shared" si="202"/>
        <v>0</v>
      </c>
      <c r="DE147" s="52">
        <f t="shared" si="202"/>
        <v>0</v>
      </c>
      <c r="DF147" s="52">
        <f t="shared" si="202"/>
        <v>0</v>
      </c>
      <c r="DG147" s="52">
        <f t="shared" si="202"/>
        <v>0</v>
      </c>
      <c r="DH147" s="52">
        <f t="shared" si="202"/>
        <v>0</v>
      </c>
    </row>
    <row r="148" spans="2:116" x14ac:dyDescent="0.25">
      <c r="C148" s="151"/>
      <c r="D148" s="151"/>
      <c r="E148" s="152"/>
      <c r="F148" s="153"/>
      <c r="G148" s="154"/>
      <c r="AQ148" s="52"/>
    </row>
    <row r="149" spans="2:116" x14ac:dyDescent="0.25">
      <c r="C149" s="151"/>
      <c r="D149" s="155"/>
      <c r="F149" s="52"/>
      <c r="G149" s="154"/>
      <c r="AB149" s="52">
        <f>+AB146+AX146</f>
        <v>25274746575</v>
      </c>
      <c r="BS149" s="52">
        <f ca="1">BS146+CO146</f>
        <v>25274746575</v>
      </c>
    </row>
    <row r="150" spans="2:116" x14ac:dyDescent="0.25">
      <c r="B150" t="s">
        <v>382</v>
      </c>
      <c r="C150" s="151"/>
      <c r="D150" s="155"/>
      <c r="F150" s="52"/>
      <c r="BS150" s="52"/>
      <c r="CO150" s="52">
        <f ca="1">+CO146+BS146</f>
        <v>25274746575</v>
      </c>
    </row>
    <row r="151" spans="2:116" x14ac:dyDescent="0.25">
      <c r="B151" t="s">
        <v>383</v>
      </c>
      <c r="D151" s="156"/>
      <c r="E151" s="152"/>
      <c r="F151" s="157"/>
      <c r="G151" s="154"/>
      <c r="X151" s="52"/>
      <c r="AB151" s="52"/>
      <c r="BP151" s="52"/>
    </row>
    <row r="152" spans="2:116" x14ac:dyDescent="0.25">
      <c r="B152" t="s">
        <v>384</v>
      </c>
      <c r="D152" s="156"/>
      <c r="E152" s="152"/>
      <c r="F152" s="157"/>
      <c r="G152" s="154"/>
      <c r="BP152" s="52"/>
      <c r="BS152" s="52"/>
    </row>
    <row r="153" spans="2:116" x14ac:dyDescent="0.25">
      <c r="B153" t="s">
        <v>385</v>
      </c>
      <c r="D153" s="156"/>
      <c r="E153" s="152"/>
      <c r="F153" s="157"/>
      <c r="G153" s="154"/>
    </row>
    <row r="154" spans="2:116" x14ac:dyDescent="0.25">
      <c r="D154" s="155"/>
      <c r="E154" s="152"/>
      <c r="F154" s="153"/>
      <c r="G154" s="154"/>
      <c r="H154" s="52"/>
      <c r="AB154" s="52"/>
    </row>
    <row r="155" spans="2:116" x14ac:dyDescent="0.25">
      <c r="D155" s="155"/>
      <c r="E155" s="152"/>
      <c r="F155" s="151"/>
      <c r="G155" s="154"/>
      <c r="AB155" s="52"/>
    </row>
    <row r="156" spans="2:116" x14ac:dyDescent="0.25">
      <c r="D156" s="155"/>
      <c r="E156" s="152"/>
      <c r="F156" s="151"/>
      <c r="G156" s="154"/>
    </row>
    <row r="157" spans="2:116" x14ac:dyDescent="0.25">
      <c r="AB157" s="52"/>
    </row>
    <row r="158" spans="2:116" x14ac:dyDescent="0.25">
      <c r="F158" s="52"/>
    </row>
  </sheetData>
  <mergeCells count="60">
    <mergeCell ref="A127:A132"/>
    <mergeCell ref="B127:B129"/>
    <mergeCell ref="B133:D133"/>
    <mergeCell ref="C135:E135"/>
    <mergeCell ref="C146:D146"/>
    <mergeCell ref="A114:A125"/>
    <mergeCell ref="B114:B116"/>
    <mergeCell ref="B117:B125"/>
    <mergeCell ref="A73:A85"/>
    <mergeCell ref="B73:B79"/>
    <mergeCell ref="B80:B81"/>
    <mergeCell ref="B82:B85"/>
    <mergeCell ref="A86:A92"/>
    <mergeCell ref="B86:B87"/>
    <mergeCell ref="B88:B92"/>
    <mergeCell ref="B93:F93"/>
    <mergeCell ref="A95:A109"/>
    <mergeCell ref="B95:B102"/>
    <mergeCell ref="B106:B108"/>
    <mergeCell ref="B113:F113"/>
    <mergeCell ref="A61:A72"/>
    <mergeCell ref="B61:B63"/>
    <mergeCell ref="B65:B72"/>
    <mergeCell ref="B20:E20"/>
    <mergeCell ref="B21:B23"/>
    <mergeCell ref="B26:B34"/>
    <mergeCell ref="A35:A49"/>
    <mergeCell ref="B35:B38"/>
    <mergeCell ref="B39:B42"/>
    <mergeCell ref="B43:B45"/>
    <mergeCell ref="B46:B49"/>
    <mergeCell ref="A50:A59"/>
    <mergeCell ref="B50:B51"/>
    <mergeCell ref="B52:B53"/>
    <mergeCell ref="B54:B59"/>
    <mergeCell ref="B60:E60"/>
    <mergeCell ref="CO2:CX2"/>
    <mergeCell ref="CY2:DH2"/>
    <mergeCell ref="B4:B6"/>
    <mergeCell ref="B8:B12"/>
    <mergeCell ref="B14:B16"/>
    <mergeCell ref="BU2:CD2"/>
    <mergeCell ref="CF2:CM2"/>
    <mergeCell ref="B18:B19"/>
    <mergeCell ref="G2:Z2"/>
    <mergeCell ref="AB2:AV2"/>
    <mergeCell ref="AY2:BG2"/>
    <mergeCell ref="BH2:BQ2"/>
    <mergeCell ref="F2:F3"/>
    <mergeCell ref="A2:A3"/>
    <mergeCell ref="B2:B3"/>
    <mergeCell ref="C2:C3"/>
    <mergeCell ref="D2:D3"/>
    <mergeCell ref="E2:E3"/>
    <mergeCell ref="CO1:DH1"/>
    <mergeCell ref="C1:F1"/>
    <mergeCell ref="G1:Z1"/>
    <mergeCell ref="AB1:AV1"/>
    <mergeCell ref="AY1:BR1"/>
    <mergeCell ref="BS1:CM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 XX DEL 29 DE DICIEMBRE 
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I153"/>
  <sheetViews>
    <sheetView showGridLines="0" topLeftCell="C1" zoomScaleNormal="100" zoomScalePageLayoutView="50" workbookViewId="0">
      <pane xSplit="2" ySplit="3" topLeftCell="E4" activePane="bottomRight" state="frozen"/>
      <selection activeCell="C1" sqref="C1"/>
      <selection pane="topRight" activeCell="E1" sqref="E1"/>
      <selection pane="bottomLeft" activeCell="C4" sqref="C4"/>
      <selection pane="bottomRight" activeCell="F14" sqref="F14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7.28515625" bestFit="1" customWidth="1"/>
    <col min="5" max="5" width="6.28515625" customWidth="1"/>
    <col min="6" max="6" width="14.28515625" customWidth="1"/>
    <col min="7" max="7" width="1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6" width="9.140625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140625" hidden="1" customWidth="1"/>
    <col min="24" max="24" width="12.7109375" hidden="1" customWidth="1"/>
    <col min="25" max="26" width="12.28515625" hidden="1" customWidth="1"/>
    <col min="27" max="27" width="8.28515625" customWidth="1"/>
    <col min="28" max="28" width="13.7109375" bestFit="1" customWidth="1"/>
    <col min="29" max="29" width="14.4257812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6.140625" hidden="1" customWidth="1"/>
    <col min="34" max="35" width="15" hidden="1" customWidth="1"/>
    <col min="36" max="36" width="11.7109375" hidden="1" customWidth="1"/>
    <col min="37" max="37" width="13.28515625" hidden="1" customWidth="1"/>
    <col min="38" max="38" width="12.5703125" hidden="1" customWidth="1"/>
    <col min="39" max="39" width="14.42578125" hidden="1" customWidth="1"/>
    <col min="40" max="40" width="14.140625" hidden="1" customWidth="1"/>
    <col min="41" max="41" width="13.28515625" hidden="1" customWidth="1"/>
    <col min="42" max="42" width="13.5703125" hidden="1" customWidth="1"/>
    <col min="43" max="43" width="13.42578125" hidden="1" customWidth="1"/>
    <col min="44" max="44" width="17.7109375" hidden="1" customWidth="1"/>
    <col min="45" max="45" width="13.4257812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49" width="8.5703125" customWidth="1"/>
    <col min="50" max="50" width="14.85546875" customWidth="1"/>
    <col min="51" max="51" width="14.5703125" hidden="1" customWidth="1"/>
    <col min="52" max="52" width="15.140625" hidden="1" customWidth="1"/>
    <col min="53" max="53" width="14.42578125" hidden="1" customWidth="1"/>
    <col min="54" max="54" width="11.28515625" hidden="1" customWidth="1"/>
    <col min="55" max="55" width="13.85546875" hidden="1" customWidth="1"/>
    <col min="56" max="56" width="10" hidden="1" customWidth="1"/>
    <col min="57" max="57" width="11" hidden="1" customWidth="1"/>
    <col min="58" max="59" width="9.28515625" hidden="1" customWidth="1"/>
    <col min="60" max="60" width="12.5703125" hidden="1" customWidth="1"/>
    <col min="61" max="61" width="13.5703125" hidden="1" customWidth="1"/>
    <col min="62" max="62" width="15.140625" hidden="1" customWidth="1"/>
    <col min="63" max="63" width="13.85546875" hidden="1" customWidth="1"/>
    <col min="64" max="64" width="15" hidden="1" customWidth="1"/>
    <col min="65" max="66" width="13.42578125" hidden="1" customWidth="1"/>
    <col min="67" max="67" width="13.5703125" hidden="1" customWidth="1"/>
    <col min="68" max="68" width="15.5703125" hidden="1" customWidth="1"/>
    <col min="69" max="69" width="12.85546875" hidden="1" customWidth="1"/>
    <col min="70" max="70" width="9.5703125" customWidth="1"/>
    <col min="71" max="71" width="14" customWidth="1"/>
    <col min="72" max="72" width="14" hidden="1" customWidth="1"/>
    <col min="73" max="73" width="12.28515625" hidden="1" customWidth="1"/>
    <col min="74" max="74" width="13.4257812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8" width="14.28515625" hidden="1" customWidth="1"/>
    <col min="89" max="89" width="13.7109375" hidden="1" customWidth="1"/>
    <col min="90" max="90" width="12.28515625" hidden="1" customWidth="1"/>
    <col min="91" max="91" width="13.42578125" hidden="1" customWidth="1"/>
    <col min="92" max="92" width="8.28515625" bestFit="1" customWidth="1"/>
    <col min="93" max="93" width="15" customWidth="1"/>
    <col min="94" max="94" width="13.7109375" hidden="1" customWidth="1"/>
    <col min="95" max="95" width="14.42578125" hidden="1" customWidth="1"/>
    <col min="96" max="96" width="15.5703125" hidden="1" customWidth="1"/>
    <col min="97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9" width="14.42578125" hidden="1" customWidth="1"/>
    <col min="110" max="111" width="14.85546875" hidden="1" customWidth="1"/>
    <col min="112" max="112" width="13.5703125" hidden="1" customWidth="1"/>
    <col min="113" max="113" width="5.140625" customWidth="1"/>
  </cols>
  <sheetData>
    <row r="1" spans="1:112" ht="15" customHeight="1" x14ac:dyDescent="0.3">
      <c r="C1" s="211" t="s">
        <v>0</v>
      </c>
      <c r="D1" s="211"/>
      <c r="E1" s="211"/>
      <c r="F1" s="211"/>
      <c r="G1" s="280" t="s">
        <v>11</v>
      </c>
      <c r="H1" s="280" t="s">
        <v>11</v>
      </c>
      <c r="I1" s="280" t="s">
        <v>11</v>
      </c>
      <c r="J1" s="280" t="s">
        <v>11</v>
      </c>
      <c r="K1" s="280" t="s">
        <v>11</v>
      </c>
      <c r="L1" s="280" t="s">
        <v>11</v>
      </c>
      <c r="M1" s="280" t="s">
        <v>11</v>
      </c>
      <c r="N1" s="280" t="s">
        <v>11</v>
      </c>
      <c r="O1" s="280" t="s">
        <v>11</v>
      </c>
      <c r="P1" s="280" t="s">
        <v>11</v>
      </c>
      <c r="Q1" s="280" t="s">
        <v>11</v>
      </c>
      <c r="R1" s="280" t="s">
        <v>11</v>
      </c>
      <c r="S1" s="280" t="s">
        <v>11</v>
      </c>
      <c r="T1" s="280" t="s">
        <v>11</v>
      </c>
      <c r="U1" s="280" t="s">
        <v>11</v>
      </c>
      <c r="V1" s="280" t="s">
        <v>11</v>
      </c>
      <c r="W1" s="280" t="s">
        <v>11</v>
      </c>
      <c r="X1" s="280" t="s">
        <v>11</v>
      </c>
      <c r="Y1" s="280" t="s">
        <v>11</v>
      </c>
      <c r="Z1" s="280" t="s">
        <v>11</v>
      </c>
      <c r="AA1" s="272" t="s">
        <v>386</v>
      </c>
      <c r="AB1" s="273"/>
      <c r="AC1" s="272" t="s">
        <v>386</v>
      </c>
      <c r="AD1" s="273"/>
      <c r="AE1" s="272" t="s">
        <v>386</v>
      </c>
      <c r="AF1" s="273"/>
      <c r="AG1" s="272" t="s">
        <v>386</v>
      </c>
      <c r="AH1" s="273"/>
      <c r="AI1" s="272" t="s">
        <v>386</v>
      </c>
      <c r="AJ1" s="273"/>
      <c r="AK1" s="272" t="s">
        <v>386</v>
      </c>
      <c r="AL1" s="273"/>
      <c r="AM1" s="272" t="s">
        <v>386</v>
      </c>
      <c r="AN1" s="273"/>
      <c r="AO1" s="272" t="s">
        <v>386</v>
      </c>
      <c r="AP1" s="273"/>
      <c r="AQ1" s="272" t="s">
        <v>386</v>
      </c>
      <c r="AR1" s="273"/>
      <c r="AS1" s="272" t="s">
        <v>386</v>
      </c>
      <c r="AT1" s="273"/>
      <c r="AU1" s="272" t="s">
        <v>386</v>
      </c>
      <c r="AV1" s="273"/>
      <c r="AW1" s="268" t="s">
        <v>388</v>
      </c>
      <c r="AX1" s="269"/>
      <c r="AY1" s="272" t="s">
        <v>389</v>
      </c>
      <c r="AZ1" s="273"/>
      <c r="BA1" s="163"/>
      <c r="BB1" s="163"/>
      <c r="BC1" s="163"/>
      <c r="BD1" s="163"/>
      <c r="BE1" s="163"/>
      <c r="BF1" s="163"/>
      <c r="BG1" s="163"/>
      <c r="BH1" s="163"/>
      <c r="BI1" s="163"/>
      <c r="BJ1" s="163"/>
      <c r="BK1" s="163"/>
      <c r="BL1" s="163"/>
      <c r="BM1" s="163"/>
      <c r="BN1" s="163"/>
      <c r="BO1" s="163"/>
      <c r="BP1" s="163"/>
      <c r="BQ1" s="163"/>
      <c r="BR1" s="272" t="s">
        <v>389</v>
      </c>
      <c r="BS1" s="273"/>
      <c r="BT1" s="163"/>
      <c r="BU1" s="163"/>
      <c r="BV1" s="163"/>
      <c r="BW1" s="163"/>
      <c r="BX1" s="163"/>
      <c r="BY1" s="163"/>
      <c r="BZ1" s="163"/>
      <c r="CA1" s="163"/>
      <c r="CB1" s="163"/>
      <c r="CC1" s="163"/>
      <c r="CD1" s="163"/>
      <c r="CE1" s="163"/>
      <c r="CF1" s="163"/>
      <c r="CG1" s="163"/>
      <c r="CH1" s="163"/>
      <c r="CI1" s="163"/>
      <c r="CJ1" s="163"/>
      <c r="CK1" s="163"/>
      <c r="CL1" s="163"/>
      <c r="CM1" s="164"/>
      <c r="CN1" s="276" t="s">
        <v>390</v>
      </c>
      <c r="CO1" s="277"/>
      <c r="CP1" s="163"/>
      <c r="CQ1" s="163"/>
      <c r="CR1" s="163"/>
      <c r="CS1" s="163"/>
      <c r="CT1" s="163"/>
      <c r="CU1" s="163"/>
      <c r="CV1" s="163"/>
      <c r="CW1" s="163"/>
      <c r="CX1" s="163"/>
      <c r="CY1" s="163"/>
      <c r="CZ1" s="163"/>
      <c r="DA1" s="163"/>
      <c r="DB1" s="163"/>
      <c r="DC1" s="163"/>
      <c r="DD1" s="163"/>
      <c r="DE1" s="163"/>
      <c r="DF1" s="163"/>
      <c r="DG1" s="163"/>
      <c r="DH1" s="163"/>
    </row>
    <row r="2" spans="1:112" ht="20.25" customHeight="1" x14ac:dyDescent="0.25">
      <c r="A2" s="217" t="s">
        <v>5</v>
      </c>
      <c r="B2" s="217" t="s">
        <v>6</v>
      </c>
      <c r="C2" s="218" t="s">
        <v>7</v>
      </c>
      <c r="D2" s="217" t="s">
        <v>8</v>
      </c>
      <c r="E2" s="220" t="s">
        <v>9</v>
      </c>
      <c r="F2" s="233" t="s">
        <v>10</v>
      </c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  <c r="Z2" s="281"/>
      <c r="AA2" s="274"/>
      <c r="AB2" s="275"/>
      <c r="AC2" s="274"/>
      <c r="AD2" s="275"/>
      <c r="AE2" s="274"/>
      <c r="AF2" s="275"/>
      <c r="AG2" s="274"/>
      <c r="AH2" s="275"/>
      <c r="AI2" s="274"/>
      <c r="AJ2" s="275"/>
      <c r="AK2" s="274"/>
      <c r="AL2" s="275"/>
      <c r="AM2" s="274"/>
      <c r="AN2" s="275"/>
      <c r="AO2" s="274"/>
      <c r="AP2" s="275"/>
      <c r="AQ2" s="274"/>
      <c r="AR2" s="275"/>
      <c r="AS2" s="274"/>
      <c r="AT2" s="275"/>
      <c r="AU2" s="274"/>
      <c r="AV2" s="275"/>
      <c r="AW2" s="270"/>
      <c r="AX2" s="271"/>
      <c r="AY2" s="274"/>
      <c r="AZ2" s="275"/>
      <c r="BA2" s="166"/>
      <c r="BB2" s="166"/>
      <c r="BC2" s="166"/>
      <c r="BD2" s="166"/>
      <c r="BE2" s="166"/>
      <c r="BF2" s="166"/>
      <c r="BG2" s="167"/>
      <c r="BH2" s="165" t="s">
        <v>13</v>
      </c>
      <c r="BI2" s="166"/>
      <c r="BJ2" s="166"/>
      <c r="BK2" s="166"/>
      <c r="BL2" s="166"/>
      <c r="BM2" s="166"/>
      <c r="BN2" s="166"/>
      <c r="BO2" s="166"/>
      <c r="BP2" s="166"/>
      <c r="BQ2" s="167"/>
      <c r="BR2" s="274"/>
      <c r="BS2" s="275"/>
      <c r="BT2" s="9"/>
      <c r="BU2" s="168" t="s">
        <v>14</v>
      </c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68" t="s">
        <v>14</v>
      </c>
      <c r="CG2" s="10"/>
      <c r="CH2" s="10"/>
      <c r="CI2" s="10"/>
      <c r="CJ2" s="10"/>
      <c r="CK2" s="10"/>
      <c r="CL2" s="10"/>
      <c r="CM2" s="169"/>
      <c r="CN2" s="278"/>
      <c r="CO2" s="279"/>
      <c r="CP2" s="166"/>
      <c r="CQ2" s="166"/>
      <c r="CR2" s="166"/>
      <c r="CS2" s="166"/>
      <c r="CT2" s="166"/>
      <c r="CU2" s="166"/>
      <c r="CV2" s="166"/>
      <c r="CW2" s="166"/>
      <c r="CX2" s="166"/>
      <c r="CY2" s="166" t="s">
        <v>13</v>
      </c>
      <c r="CZ2" s="166"/>
      <c r="DA2" s="166"/>
      <c r="DB2" s="166"/>
      <c r="DC2" s="166"/>
      <c r="DD2" s="166"/>
      <c r="DE2" s="166"/>
      <c r="DF2" s="166"/>
      <c r="DG2" s="166"/>
      <c r="DH2" s="167"/>
    </row>
    <row r="3" spans="1:112" ht="42.75" customHeight="1" x14ac:dyDescent="0.25">
      <c r="A3" s="217"/>
      <c r="B3" s="217"/>
      <c r="C3" s="219"/>
      <c r="D3" s="217"/>
      <c r="E3" s="221"/>
      <c r="F3" s="234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161" t="s">
        <v>35</v>
      </c>
      <c r="AB3" s="161" t="s">
        <v>387</v>
      </c>
      <c r="AC3" s="161" t="s">
        <v>35</v>
      </c>
      <c r="AD3" s="161" t="s">
        <v>387</v>
      </c>
      <c r="AE3" s="161" t="s">
        <v>35</v>
      </c>
      <c r="AF3" s="161" t="s">
        <v>387</v>
      </c>
      <c r="AG3" s="161" t="s">
        <v>35</v>
      </c>
      <c r="AH3" s="161" t="s">
        <v>387</v>
      </c>
      <c r="AI3" s="161" t="s">
        <v>35</v>
      </c>
      <c r="AJ3" s="161" t="s">
        <v>387</v>
      </c>
      <c r="AK3" s="161" t="s">
        <v>35</v>
      </c>
      <c r="AL3" s="161" t="s">
        <v>387</v>
      </c>
      <c r="AM3" s="161" t="s">
        <v>35</v>
      </c>
      <c r="AN3" s="161" t="s">
        <v>387</v>
      </c>
      <c r="AO3" s="161" t="s">
        <v>35</v>
      </c>
      <c r="AP3" s="161" t="s">
        <v>387</v>
      </c>
      <c r="AQ3" s="161" t="s">
        <v>35</v>
      </c>
      <c r="AR3" s="161" t="s">
        <v>387</v>
      </c>
      <c r="AS3" s="161" t="s">
        <v>35</v>
      </c>
      <c r="AT3" s="161" t="s">
        <v>387</v>
      </c>
      <c r="AU3" s="161" t="s">
        <v>35</v>
      </c>
      <c r="AV3" s="161" t="s">
        <v>387</v>
      </c>
      <c r="AW3" s="162" t="s">
        <v>35</v>
      </c>
      <c r="AX3" s="162" t="s">
        <v>387</v>
      </c>
      <c r="AY3" s="161" t="s">
        <v>35</v>
      </c>
      <c r="AZ3" s="161" t="s">
        <v>387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>%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61" t="s">
        <v>35</v>
      </c>
      <c r="BS3" s="161" t="s">
        <v>387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%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2" t="s">
        <v>35</v>
      </c>
      <c r="CO3" s="162" t="s">
        <v>387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%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</row>
    <row r="4" spans="1:112" ht="48.75" customHeight="1" x14ac:dyDescent="0.25">
      <c r="A4" s="19" t="s">
        <v>39</v>
      </c>
      <c r="B4" s="222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0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</row>
    <row r="5" spans="1:112" ht="51.75" customHeight="1" x14ac:dyDescent="0.25">
      <c r="A5" s="30"/>
      <c r="B5" s="235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0.99108770053475936</v>
      </c>
      <c r="AB5" s="24">
        <f t="shared" si="2"/>
        <v>74133360</v>
      </c>
      <c r="AC5" s="24"/>
      <c r="AD5" s="24"/>
      <c r="AE5" s="24"/>
      <c r="AF5" s="24"/>
      <c r="AG5" s="24">
        <f>+'[2]DICIEMBRE 2016'!$O$3471</f>
        <v>53333360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+'[2]DICIEMBRE 2016'!$AG$3471</f>
        <v>20800000</v>
      </c>
      <c r="AW5" s="25">
        <f t="shared" si="3"/>
        <v>8.9122994652406362E-3</v>
      </c>
      <c r="AX5" s="24">
        <f t="shared" si="4"/>
        <v>666640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666640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0</v>
      </c>
      <c r="BR5" s="25">
        <f t="shared" si="10"/>
        <v>0.99108770053475936</v>
      </c>
      <c r="BS5" s="24">
        <f t="shared" si="11"/>
        <v>74133360</v>
      </c>
      <c r="BT5" s="24"/>
      <c r="BU5" s="24"/>
      <c r="BV5" s="24"/>
      <c r="BW5" s="24"/>
      <c r="BX5" s="24">
        <f>+'[2]DICIEMBRE 2016'!$O$3471</f>
        <v>53333360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+'[2]DICIEMBRE 2016'!$AG$3471</f>
        <v>20800000</v>
      </c>
      <c r="CN5" s="25">
        <f t="shared" si="12"/>
        <v>8.9122994652406362E-3</v>
      </c>
      <c r="CO5" s="24">
        <f t="shared" si="13"/>
        <v>666640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666640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0</v>
      </c>
    </row>
    <row r="6" spans="1:112" ht="32.25" customHeight="1" x14ac:dyDescent="0.25">
      <c r="A6" s="30"/>
      <c r="B6" s="223"/>
      <c r="C6" s="20" t="s">
        <v>47</v>
      </c>
      <c r="D6" s="21" t="s">
        <v>48</v>
      </c>
      <c r="E6" s="64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0.99997404761904762</v>
      </c>
      <c r="AB6" s="24">
        <f t="shared" si="2"/>
        <v>20999455</v>
      </c>
      <c r="AC6" s="24"/>
      <c r="AD6" s="24"/>
      <c r="AE6" s="24"/>
      <c r="AF6" s="24"/>
      <c r="AG6" s="24">
        <f>+'[2]DICIEMBRE 2016'!$O$3516</f>
        <v>20999455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2.5952380952376508E-5</v>
      </c>
      <c r="AX6" s="24">
        <f t="shared" si="4"/>
        <v>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0.99997404761904762</v>
      </c>
      <c r="BS6" s="24">
        <f t="shared" si="11"/>
        <v>20999455</v>
      </c>
      <c r="BT6" s="24"/>
      <c r="BU6" s="24"/>
      <c r="BV6" s="24"/>
      <c r="BW6" s="24"/>
      <c r="BX6" s="24">
        <f>+'[2]DICIEMBRE 2016'!$H$3514</f>
        <v>20999455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2.5952380952376508E-5</v>
      </c>
      <c r="CO6" s="24">
        <f t="shared" si="13"/>
        <v>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</row>
    <row r="7" spans="1:112" ht="54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0.63407462077884125</v>
      </c>
      <c r="AB7" s="24">
        <f t="shared" si="2"/>
        <v>15773440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+'[2]DICIEMBRE 2016'!$AG$3531</f>
        <v>15773440</v>
      </c>
      <c r="AW7" s="25">
        <f t="shared" si="3"/>
        <v>0.36592537922115875</v>
      </c>
      <c r="AX7" s="24">
        <f t="shared" si="4"/>
        <v>9102875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9102875</v>
      </c>
      <c r="BR7" s="25">
        <f t="shared" si="10"/>
        <v>0.63407462077884125</v>
      </c>
      <c r="BS7" s="24">
        <f t="shared" si="11"/>
        <v>15773440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+'[2]DICIEMBRE 2016'!$H$3529</f>
        <v>15773440</v>
      </c>
      <c r="CN7" s="25">
        <f t="shared" si="12"/>
        <v>0.36592537922115875</v>
      </c>
      <c r="CO7" s="24">
        <f t="shared" si="13"/>
        <v>9102875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9102875</v>
      </c>
    </row>
    <row r="8" spans="1:112" ht="45" x14ac:dyDescent="0.25">
      <c r="A8" s="30"/>
      <c r="B8" s="222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0.66954429000000004</v>
      </c>
      <c r="AB8" s="24">
        <f t="shared" si="2"/>
        <v>133908858</v>
      </c>
      <c r="AC8" s="24"/>
      <c r="AD8" s="24"/>
      <c r="AE8" s="24">
        <f>+'[3]ENERO 2016'!$M$109</f>
        <v>6621400</v>
      </c>
      <c r="AF8" s="24"/>
      <c r="AG8" s="24">
        <f>+'[4]DICIEMBRE 2016'!$O$478</f>
        <v>127287458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0.33045570999999996</v>
      </c>
      <c r="AX8" s="24">
        <f t="shared" si="4"/>
        <v>66091142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66091142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0.66954429000000004</v>
      </c>
      <c r="BS8" s="24">
        <f t="shared" si="11"/>
        <v>133908858</v>
      </c>
      <c r="BT8" s="24"/>
      <c r="BU8" s="24"/>
      <c r="BV8" s="24">
        <f>+'[3]ENERO 2016'!$H$107</f>
        <v>6621400</v>
      </c>
      <c r="BW8" s="24"/>
      <c r="BX8" s="24">
        <f>+'[4]DICIEMBRE 2016'!$O$478</f>
        <v>127287458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0.33045570999999996</v>
      </c>
      <c r="CO8" s="24">
        <f t="shared" si="13"/>
        <v>66091142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66091142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</row>
    <row r="9" spans="1:112" ht="64.5" customHeight="1" x14ac:dyDescent="0.25">
      <c r="A9" s="30"/>
      <c r="B9" s="235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0.64845522626112762</v>
      </c>
      <c r="AB9" s="24">
        <f t="shared" si="2"/>
        <v>349647058</v>
      </c>
      <c r="AC9" s="24"/>
      <c r="AD9" s="24"/>
      <c r="AE9" s="24">
        <f>+'[4]DICIEMBRE 2016'!$M$513</f>
        <v>207088469</v>
      </c>
      <c r="AF9" s="24"/>
      <c r="AG9" s="24">
        <f>+'[2]DICIEMBRE 2016'!$O$508</f>
        <v>94797911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+'[2]DICIEMBRE 2016'!$AG$508</f>
        <v>47760678</v>
      </c>
      <c r="AW9" s="25">
        <f t="shared" si="3"/>
        <v>0.35154477373887238</v>
      </c>
      <c r="AX9" s="24">
        <f t="shared" si="4"/>
        <v>189552942</v>
      </c>
      <c r="AY9" s="24">
        <f t="shared" si="5"/>
        <v>0</v>
      </c>
      <c r="AZ9" s="24">
        <f t="shared" si="6"/>
        <v>186290131</v>
      </c>
      <c r="BA9" s="24">
        <f t="shared" si="6"/>
        <v>0</v>
      </c>
      <c r="BB9" s="24">
        <f t="shared" si="7"/>
        <v>1023489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2239322</v>
      </c>
      <c r="BR9" s="25">
        <f t="shared" si="10"/>
        <v>0.64845522626112762</v>
      </c>
      <c r="BS9" s="24">
        <f t="shared" si="11"/>
        <v>349647058</v>
      </c>
      <c r="BT9" s="24"/>
      <c r="BU9" s="24"/>
      <c r="BV9" s="24">
        <f>+'[4]DICIEMBRE 2016'!$M$513</f>
        <v>207088469</v>
      </c>
      <c r="BW9" s="24"/>
      <c r="BX9" s="24">
        <f>+'[2]DICIEMBRE 2016'!$O$508</f>
        <v>94797911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+'[2]DICIEMBRE 2016'!$H$577+'[2]DICIEMBRE 2016'!$H$603+'[2]DICIEMBRE 2016'!$H$607+'[2]DICIEMBRE 2016'!$H$610+'[2]DICIEMBRE 2016'!$H$618+'[2]DICIEMBRE 2016'!$H$626+'[2]DICIEMBRE 2016'!$H$628+'[2]DICIEMBRE 2016'!$H$635+'[2]DICIEMBRE 2016'!$H$636+'[2]DICIEMBRE 2016'!$H$641+'[2]DICIEMBRE 2016'!$H$659+'[2]DICIEMBRE 2016'!$H$661+'[2]DICIEMBRE 2016'!$H$662+'[2]DICIEMBRE 2016'!$H$675+'[2]DICIEMBRE 2016'!$H$690+'[2]DICIEMBRE 2016'!$H$693+'[2]DICIEMBRE 2016'!$H$699+'[2]DICIEMBRE 2016'!$H$701+'[2]DICIEMBRE 2016'!$H$707+'[2]DICIEMBRE 2016'!$H$708+'[2]DICIEMBRE 2016'!$H$716+'[2]DICIEMBRE 2016'!$H$717+'[2]DICIEMBRE 2016'!$H$720+'[2]DICIEMBRE 2016'!$H$733+'[2]DICIEMBRE 2016'!$H$735+'[2]DICIEMBRE 2016'!$H$736+'[2]DICIEMBRE 2016'!$H$739+'[2]DICIEMBRE 2016'!$H$746+'[2]DICIEMBRE 2016'!$H$762+'[2]DICIEMBRE 2016'!$H$778+'[2]DICIEMBRE 2016'!$H$790+'[2]DICIEMBRE 2016'!$H$791+'[2]DICIEMBRE 2016'!$H$792+'[2]DICIEMBRE 2016'!$H$796+'[2]DICIEMBRE 2016'!$H$811+'[2]DICIEMBRE 2016'!$H$820+'[2]DICIEMBRE 2016'!$H$824+'[2]DICIEMBRE 2016'!$H$846+'[2]DICIEMBRE 2016'!$H$847+'[2]DICIEMBRE 2016'!$H$848+'[2]DICIEMBRE 2016'!$H$870+'[2]DICIEMBRE 2016'!$H$874</f>
        <v>47760678</v>
      </c>
      <c r="CN9" s="25">
        <f t="shared" si="12"/>
        <v>0.35154477373887238</v>
      </c>
      <c r="CO9" s="24">
        <f t="shared" si="13"/>
        <v>189552942</v>
      </c>
      <c r="CP9" s="24">
        <f t="shared" si="14"/>
        <v>0</v>
      </c>
      <c r="CQ9" s="24">
        <f t="shared" si="14"/>
        <v>186290131</v>
      </c>
      <c r="CR9" s="24">
        <f t="shared" si="14"/>
        <v>0</v>
      </c>
      <c r="CS9" s="24">
        <f t="shared" si="14"/>
        <v>1023489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2239322</v>
      </c>
    </row>
    <row r="10" spans="1:112" ht="19.5" customHeight="1" x14ac:dyDescent="0.25">
      <c r="A10" s="30"/>
      <c r="B10" s="235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0.9286861111111111</v>
      </c>
      <c r="AB10" s="24">
        <f t="shared" si="2"/>
        <v>33432700</v>
      </c>
      <c r="AC10" s="24"/>
      <c r="AD10" s="24"/>
      <c r="AE10" s="24"/>
      <c r="AF10" s="24"/>
      <c r="AG10" s="24">
        <f>+'[2]DICIEMBRE 2016'!$O$879</f>
        <v>33432700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7.1313888888888899E-2</v>
      </c>
      <c r="AX10" s="24">
        <f t="shared" si="4"/>
        <v>2567300</v>
      </c>
      <c r="AY10" s="24">
        <f t="shared" ref="AY10:AY16" si="19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2567300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0.9286861111111111</v>
      </c>
      <c r="BS10" s="24">
        <f t="shared" si="11"/>
        <v>33432700</v>
      </c>
      <c r="BT10" s="24"/>
      <c r="BU10" s="24"/>
      <c r="BV10" s="24"/>
      <c r="BW10" s="24"/>
      <c r="BX10" s="24">
        <f>+'[5]NOVIEMBRE 2016'!$H$825</f>
        <v>33432700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7.1313888888888899E-2</v>
      </c>
      <c r="CO10" s="24">
        <f t="shared" si="13"/>
        <v>2567300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2567300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</row>
    <row r="11" spans="1:112" ht="33.75" customHeight="1" x14ac:dyDescent="0.25">
      <c r="A11" s="30"/>
      <c r="B11" s="235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0.53519015999999997</v>
      </c>
      <c r="AB11" s="24">
        <f t="shared" si="2"/>
        <v>26759508</v>
      </c>
      <c r="AC11" s="24"/>
      <c r="AD11" s="24"/>
      <c r="AE11" s="24">
        <f>+'[4]DICIEMBRE 2016'!$M$903</f>
        <v>26759508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0.46480984000000003</v>
      </c>
      <c r="AX11" s="24">
        <f t="shared" si="4"/>
        <v>23240492</v>
      </c>
      <c r="AY11" s="24">
        <f t="shared" si="19"/>
        <v>0</v>
      </c>
      <c r="AZ11" s="24">
        <f t="shared" si="6"/>
        <v>23240492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0.53519015999999997</v>
      </c>
      <c r="BS11" s="24">
        <f t="shared" si="11"/>
        <v>26759508</v>
      </c>
      <c r="BT11" s="24"/>
      <c r="BU11" s="24"/>
      <c r="BV11" s="24">
        <f>+'[4]DICIEMBRE 2016'!$M$903</f>
        <v>26759508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0.46480984000000003</v>
      </c>
      <c r="CO11" s="24">
        <f t="shared" si="13"/>
        <v>23240492</v>
      </c>
      <c r="CP11" s="24">
        <f t="shared" si="14"/>
        <v>0</v>
      </c>
      <c r="CQ11" s="24">
        <f t="shared" si="14"/>
        <v>23240492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</row>
    <row r="12" spans="1:112" ht="21" customHeight="1" x14ac:dyDescent="0.25">
      <c r="A12" s="30"/>
      <c r="B12" s="223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0.78</v>
      </c>
      <c r="AB12" s="24">
        <f t="shared" si="2"/>
        <v>7800000</v>
      </c>
      <c r="AC12" s="24"/>
      <c r="AD12" s="24"/>
      <c r="AE12" s="24"/>
      <c r="AF12" s="24"/>
      <c r="AG12" s="24">
        <f>+'[2]DICIEMBRE 2016'!$O$922</f>
        <v>7800000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0.21999999999999997</v>
      </c>
      <c r="AX12" s="24">
        <f t="shared" si="4"/>
        <v>2200000</v>
      </c>
      <c r="AY12" s="24">
        <f t="shared" si="19"/>
        <v>0</v>
      </c>
      <c r="AZ12" s="24">
        <f t="shared" si="6"/>
        <v>0</v>
      </c>
      <c r="BA12" s="24">
        <f t="shared" si="6"/>
        <v>0</v>
      </c>
      <c r="BB12" s="24">
        <f t="shared" si="7"/>
        <v>2200000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</row>
    <row r="13" spans="1:112" ht="76.5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0.86551666535115324</v>
      </c>
      <c r="AB13" s="24">
        <f t="shared" si="2"/>
        <v>244772148</v>
      </c>
      <c r="AC13" s="24"/>
      <c r="AD13" s="24"/>
      <c r="AE13" s="24"/>
      <c r="AF13" s="24"/>
      <c r="AG13" s="24">
        <f>+'[4]DICIEMBRE 2016'!$O$3556</f>
        <v>147340801</v>
      </c>
      <c r="AH13" s="24">
        <f>+'[5]NOVIEMBRE 2016'!$P$3385</f>
        <v>14004396</v>
      </c>
      <c r="AI13" s="24"/>
      <c r="AJ13" s="24"/>
      <c r="AK13" s="24"/>
      <c r="AL13" s="24"/>
      <c r="AM13" s="24"/>
      <c r="AN13" s="24"/>
      <c r="AO13" s="24"/>
      <c r="AP13" s="24">
        <f>+'[6]FEBRERO 2016'!$X$699</f>
        <v>1796640</v>
      </c>
      <c r="AQ13" s="24"/>
      <c r="AR13" s="24"/>
      <c r="AS13" s="24"/>
      <c r="AT13" s="24"/>
      <c r="AU13" s="24"/>
      <c r="AV13" s="24">
        <f>+'[4]DICIEMBRE 2016'!$AG$3556</f>
        <v>81630311</v>
      </c>
      <c r="AW13" s="25">
        <f t="shared" si="3"/>
        <v>0.13448333464884676</v>
      </c>
      <c r="AX13" s="24">
        <f t="shared" si="4"/>
        <v>38032514</v>
      </c>
      <c r="AY13" s="24">
        <f t="shared" si="19"/>
        <v>0</v>
      </c>
      <c r="AZ13" s="24">
        <f t="shared" si="6"/>
        <v>0</v>
      </c>
      <c r="BA13" s="24">
        <f t="shared" si="6"/>
        <v>0</v>
      </c>
      <c r="BB13" s="24">
        <f t="shared" si="7"/>
        <v>12659199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25373315</v>
      </c>
      <c r="BR13" s="25">
        <f t="shared" si="10"/>
        <v>0.86551666535115324</v>
      </c>
      <c r="BS13" s="24">
        <f t="shared" si="11"/>
        <v>244772148</v>
      </c>
      <c r="BT13" s="24"/>
      <c r="BU13" s="24"/>
      <c r="BV13" s="24"/>
      <c r="BW13" s="24"/>
      <c r="BX13" s="24">
        <f>+'[4]DICIEMBRE 2016'!$O$3556</f>
        <v>147340801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+'[4]DICIEMBRE 2016'!$AG$3556</f>
        <v>81630311</v>
      </c>
      <c r="CN13" s="25">
        <f t="shared" si="12"/>
        <v>0.13448333464884676</v>
      </c>
      <c r="CO13" s="24">
        <f t="shared" si="13"/>
        <v>38032514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12659199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>+Y13-CL13</f>
        <v>0</v>
      </c>
      <c r="DH13" s="24">
        <f t="shared" si="18"/>
        <v>25373315</v>
      </c>
    </row>
    <row r="14" spans="1:112" ht="45" customHeight="1" x14ac:dyDescent="0.25">
      <c r="A14" s="30"/>
      <c r="B14" s="222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105000000</v>
      </c>
      <c r="H14" s="24"/>
      <c r="I14" s="24"/>
      <c r="J14" s="24"/>
      <c r="K14" s="24">
        <f>65000000+40000000</f>
        <v>105000000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0.93779581904761899</v>
      </c>
      <c r="AB14" s="24">
        <f t="shared" si="2"/>
        <v>98468561</v>
      </c>
      <c r="AC14" s="24"/>
      <c r="AD14" s="24"/>
      <c r="AE14" s="24"/>
      <c r="AF14" s="24"/>
      <c r="AG14" s="24">
        <f>+'[2]DICIEMBRE 2016'!$O$3651</f>
        <v>98468561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6.2204180952381005E-2</v>
      </c>
      <c r="AX14" s="24">
        <f t="shared" si="4"/>
        <v>6531439</v>
      </c>
      <c r="AY14" s="24">
        <f t="shared" si="19"/>
        <v>0</v>
      </c>
      <c r="AZ14" s="24">
        <f t="shared" si="6"/>
        <v>0</v>
      </c>
      <c r="BA14" s="24">
        <f t="shared" si="6"/>
        <v>0</v>
      </c>
      <c r="BB14" s="24">
        <f t="shared" si="7"/>
        <v>6531439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0.93779581904761899</v>
      </c>
      <c r="BS14" s="24">
        <f t="shared" si="11"/>
        <v>98468561</v>
      </c>
      <c r="BT14" s="24"/>
      <c r="BU14" s="24"/>
      <c r="BV14" s="24"/>
      <c r="BW14" s="24"/>
      <c r="BX14" s="24">
        <f>+'[2]DICIEMBRE 2016'!$H$3649</f>
        <v>98468561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6.2204180952381005E-2</v>
      </c>
      <c r="CO14" s="24">
        <f t="shared" si="13"/>
        <v>6531439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6531439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</row>
    <row r="15" spans="1:112" ht="45" x14ac:dyDescent="0.25">
      <c r="A15" s="30"/>
      <c r="B15" s="235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0.91025718749999995</v>
      </c>
      <c r="AB15" s="24">
        <f t="shared" si="2"/>
        <v>29128230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+'[2]DICIEMBRE 2016'!$W$3704</f>
        <v>27578230</v>
      </c>
      <c r="AP15" s="24"/>
      <c r="AQ15" s="24"/>
      <c r="AR15" s="24"/>
      <c r="AS15" s="24"/>
      <c r="AT15" s="24"/>
      <c r="AU15" s="24"/>
      <c r="AV15" s="24"/>
      <c r="AW15" s="25">
        <f t="shared" si="3"/>
        <v>8.9742812500000047E-2</v>
      </c>
      <c r="AX15" s="24">
        <f t="shared" si="4"/>
        <v>2871770</v>
      </c>
      <c r="AY15" s="24">
        <f t="shared" si="19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2853216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0.91025718749999995</v>
      </c>
      <c r="BS15" s="24">
        <f t="shared" si="11"/>
        <v>29128230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+'[2]DICIEMBRE 2016'!$W$3704</f>
        <v>27578230</v>
      </c>
      <c r="CG15" s="24"/>
      <c r="CH15" s="24"/>
      <c r="CI15" s="24"/>
      <c r="CJ15" s="24"/>
      <c r="CK15" s="24"/>
      <c r="CL15" s="24"/>
      <c r="CM15" s="24"/>
      <c r="CN15" s="25">
        <f t="shared" si="12"/>
        <v>8.9742812500000047E-2</v>
      </c>
      <c r="CO15" s="24">
        <f t="shared" si="13"/>
        <v>2871770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2853216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</row>
    <row r="16" spans="1:112" ht="20.25" hidden="1" customHeight="1" x14ac:dyDescent="0.25">
      <c r="A16" s="30"/>
      <c r="B16" s="223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19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</row>
    <row r="17" spans="1:112" ht="26.25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0.42875912337662336</v>
      </c>
      <c r="AB17" s="24">
        <f t="shared" si="2"/>
        <v>13205781</v>
      </c>
      <c r="AC17" s="24"/>
      <c r="AD17" s="24"/>
      <c r="AE17" s="24"/>
      <c r="AF17" s="24"/>
      <c r="AG17" s="24">
        <f>+'[4]DICIEMBRE 2016'!$O$3734</f>
        <v>13205781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0.57124087662337664</v>
      </c>
      <c r="AX17" s="24">
        <f t="shared" si="4"/>
        <v>17594219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17594219</v>
      </c>
      <c r="BC17" s="24">
        <f t="shared" ref="BC17:BM17" si="20">+L17</f>
        <v>0</v>
      </c>
      <c r="BD17" s="24">
        <f t="shared" si="20"/>
        <v>0</v>
      </c>
      <c r="BE17" s="24">
        <f t="shared" si="20"/>
        <v>0</v>
      </c>
      <c r="BF17" s="24">
        <f t="shared" si="20"/>
        <v>0</v>
      </c>
      <c r="BG17" s="24">
        <f t="shared" si="20"/>
        <v>0</v>
      </c>
      <c r="BH17" s="24">
        <f t="shared" si="20"/>
        <v>0</v>
      </c>
      <c r="BI17" s="24">
        <f t="shared" si="20"/>
        <v>0</v>
      </c>
      <c r="BJ17" s="24">
        <f t="shared" si="20"/>
        <v>0</v>
      </c>
      <c r="BK17" s="24">
        <f t="shared" si="20"/>
        <v>0</v>
      </c>
      <c r="BL17" s="24">
        <f t="shared" si="20"/>
        <v>0</v>
      </c>
      <c r="BM17" s="24">
        <f t="shared" si="20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0.42875912337662336</v>
      </c>
      <c r="BS17" s="24">
        <f t="shared" si="11"/>
        <v>13205781</v>
      </c>
      <c r="BT17" s="24"/>
      <c r="BU17" s="24"/>
      <c r="BV17" s="24"/>
      <c r="BW17" s="24"/>
      <c r="BX17" s="24">
        <f>+'[4]DICIEMBRE 2016'!$H$3732</f>
        <v>13205781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0.57124087662337664</v>
      </c>
      <c r="CO17" s="24">
        <f t="shared" si="13"/>
        <v>17594219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17594219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</row>
    <row r="18" spans="1:112" ht="30" x14ac:dyDescent="0.25">
      <c r="A18" s="30"/>
      <c r="B18" s="222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1">H18-AD18</f>
        <v>0</v>
      </c>
      <c r="AZ18" s="24">
        <f t="shared" si="21"/>
        <v>0</v>
      </c>
      <c r="BA18" s="24">
        <f t="shared" si="21"/>
        <v>0</v>
      </c>
      <c r="BB18" s="24">
        <f>+K18-AG18</f>
        <v>0</v>
      </c>
      <c r="BC18" s="24">
        <f t="shared" ref="BC18:BM19" si="22">+L18-AH18</f>
        <v>0</v>
      </c>
      <c r="BD18" s="24">
        <f t="shared" si="22"/>
        <v>0</v>
      </c>
      <c r="BE18" s="24">
        <f t="shared" si="22"/>
        <v>0</v>
      </c>
      <c r="BF18" s="24">
        <f t="shared" si="22"/>
        <v>0</v>
      </c>
      <c r="BG18" s="24">
        <f t="shared" si="22"/>
        <v>0</v>
      </c>
      <c r="BH18" s="24">
        <f t="shared" si="22"/>
        <v>0</v>
      </c>
      <c r="BI18" s="24">
        <f t="shared" si="22"/>
        <v>0</v>
      </c>
      <c r="BJ18" s="24">
        <f t="shared" si="22"/>
        <v>0</v>
      </c>
      <c r="BK18" s="24">
        <f t="shared" si="22"/>
        <v>0</v>
      </c>
      <c r="BL18" s="24">
        <f t="shared" si="22"/>
        <v>0</v>
      </c>
      <c r="BM18" s="24">
        <f t="shared" si="22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3">+N18-CA18</f>
        <v>0</v>
      </c>
      <c r="CW18" s="24">
        <f t="shared" si="23"/>
        <v>0</v>
      </c>
      <c r="CX18" s="24">
        <f t="shared" si="23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4">+T18-CG18</f>
        <v>0</v>
      </c>
      <c r="DC18" s="24">
        <f t="shared" si="24"/>
        <v>0</v>
      </c>
      <c r="DD18" s="24">
        <f t="shared" si="24"/>
        <v>0</v>
      </c>
      <c r="DE18" s="24"/>
      <c r="DF18" s="24">
        <f t="shared" ref="DF18:DH19" si="25">+X18-CK18</f>
        <v>0</v>
      </c>
      <c r="DG18" s="24">
        <f t="shared" si="25"/>
        <v>0</v>
      </c>
      <c r="DH18" s="24">
        <f t="shared" si="25"/>
        <v>0</v>
      </c>
    </row>
    <row r="19" spans="1:112" ht="28.5" customHeight="1" x14ac:dyDescent="0.25">
      <c r="A19" s="35"/>
      <c r="B19" s="223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0.91308678307795221</v>
      </c>
      <c r="AB19" s="24">
        <f t="shared" si="2"/>
        <v>68429429</v>
      </c>
      <c r="AC19" s="24"/>
      <c r="AD19" s="24"/>
      <c r="AE19" s="24"/>
      <c r="AF19" s="24"/>
      <c r="AG19" s="24">
        <f>+'[5]NOVIEMBRE 2016'!$O$3605</f>
        <v>45175470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+'[4]DICIEMBRE 2016'!$AG$3787</f>
        <v>23253959</v>
      </c>
      <c r="AW19" s="25">
        <f t="shared" si="3"/>
        <v>8.6913216922047787E-2</v>
      </c>
      <c r="AX19" s="24">
        <f t="shared" si="4"/>
        <v>6513534</v>
      </c>
      <c r="AY19" s="24">
        <f t="shared" si="21"/>
        <v>0</v>
      </c>
      <c r="AZ19" s="24">
        <f t="shared" si="21"/>
        <v>0</v>
      </c>
      <c r="BA19" s="24">
        <f t="shared" si="21"/>
        <v>0</v>
      </c>
      <c r="BB19" s="24">
        <f>+K19-AG19</f>
        <v>2767493</v>
      </c>
      <c r="BC19" s="24">
        <f t="shared" si="22"/>
        <v>0</v>
      </c>
      <c r="BD19" s="24">
        <f t="shared" si="22"/>
        <v>0</v>
      </c>
      <c r="BE19" s="24">
        <f t="shared" si="22"/>
        <v>0</v>
      </c>
      <c r="BF19" s="24">
        <f t="shared" si="22"/>
        <v>0</v>
      </c>
      <c r="BG19" s="24">
        <f t="shared" si="22"/>
        <v>0</v>
      </c>
      <c r="BH19" s="24">
        <f t="shared" si="22"/>
        <v>0</v>
      </c>
      <c r="BI19" s="24">
        <f t="shared" si="22"/>
        <v>0</v>
      </c>
      <c r="BJ19" s="24">
        <f t="shared" si="22"/>
        <v>0</v>
      </c>
      <c r="BK19" s="24">
        <f t="shared" si="22"/>
        <v>0</v>
      </c>
      <c r="BL19" s="24">
        <f t="shared" si="22"/>
        <v>0</v>
      </c>
      <c r="BM19" s="24">
        <f t="shared" si="22"/>
        <v>0</v>
      </c>
      <c r="BN19" s="24"/>
      <c r="BO19" s="24"/>
      <c r="BP19" s="24">
        <f>Y19-AU19</f>
        <v>0</v>
      </c>
      <c r="BQ19" s="24">
        <f>+Z19-AV19</f>
        <v>3746041</v>
      </c>
      <c r="BR19" s="25">
        <f t="shared" si="10"/>
        <v>0.91308678307795221</v>
      </c>
      <c r="BS19" s="24">
        <f t="shared" si="11"/>
        <v>68429429</v>
      </c>
      <c r="BT19" s="24"/>
      <c r="BU19" s="24"/>
      <c r="BV19" s="24"/>
      <c r="BW19" s="24"/>
      <c r="BX19" s="24">
        <f>+'[2]DICIEMBRE 2016'!$O$3786</f>
        <v>45175470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+'[4]DICIEMBRE 2016'!$AG$3787</f>
        <v>23253959</v>
      </c>
      <c r="CN19" s="25">
        <f t="shared" si="12"/>
        <v>8.6913216922047787E-2</v>
      </c>
      <c r="CO19" s="24">
        <f t="shared" si="13"/>
        <v>6513534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2767493</v>
      </c>
      <c r="CT19" s="24">
        <f t="shared" si="14"/>
        <v>0</v>
      </c>
      <c r="CU19" s="24">
        <f t="shared" si="14"/>
        <v>0</v>
      </c>
      <c r="CV19" s="24">
        <f t="shared" si="23"/>
        <v>0</v>
      </c>
      <c r="CW19" s="24">
        <f t="shared" si="23"/>
        <v>0</v>
      </c>
      <c r="CX19" s="24">
        <f t="shared" si="23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4"/>
        <v>0</v>
      </c>
      <c r="DC19" s="24">
        <f t="shared" si="24"/>
        <v>0</v>
      </c>
      <c r="DD19" s="24">
        <f t="shared" si="24"/>
        <v>0</v>
      </c>
      <c r="DE19" s="24"/>
      <c r="DF19" s="24">
        <f t="shared" si="25"/>
        <v>0</v>
      </c>
      <c r="DG19" s="24">
        <f t="shared" si="25"/>
        <v>0</v>
      </c>
      <c r="DH19" s="24">
        <f t="shared" si="25"/>
        <v>3746041</v>
      </c>
    </row>
    <row r="20" spans="1:112" s="43" customFormat="1" ht="17.25" customHeight="1" thickBot="1" x14ac:dyDescent="0.3">
      <c r="A20" s="36"/>
      <c r="B20" s="242" t="s">
        <v>86</v>
      </c>
      <c r="C20" s="243"/>
      <c r="D20" s="243"/>
      <c r="E20" s="244"/>
      <c r="F20" s="37"/>
      <c r="G20" s="38">
        <f t="shared" ref="G20:V20" si="26">SUM(G4:G19)</f>
        <v>1515480977</v>
      </c>
      <c r="H20" s="38">
        <f t="shared" si="26"/>
        <v>0</v>
      </c>
      <c r="I20" s="38">
        <f t="shared" si="26"/>
        <v>450000000</v>
      </c>
      <c r="J20" s="38">
        <f t="shared" si="26"/>
        <v>0</v>
      </c>
      <c r="K20" s="38">
        <f t="shared" si="26"/>
        <v>789568554</v>
      </c>
      <c r="L20" s="38">
        <f t="shared" si="26"/>
        <v>14004396</v>
      </c>
      <c r="M20" s="38">
        <f t="shared" si="26"/>
        <v>0</v>
      </c>
      <c r="N20" s="38">
        <f t="shared" si="26"/>
        <v>0</v>
      </c>
      <c r="O20" s="38">
        <f t="shared" si="26"/>
        <v>0</v>
      </c>
      <c r="P20" s="38">
        <f t="shared" si="26"/>
        <v>0</v>
      </c>
      <c r="Q20" s="38">
        <f t="shared" si="26"/>
        <v>0</v>
      </c>
      <c r="R20" s="38">
        <f t="shared" si="26"/>
        <v>0</v>
      </c>
      <c r="S20" s="38">
        <f t="shared" si="26"/>
        <v>30431446</v>
      </c>
      <c r="T20" s="38">
        <f t="shared" si="26"/>
        <v>1796640</v>
      </c>
      <c r="U20" s="38">
        <f t="shared" si="26"/>
        <v>0</v>
      </c>
      <c r="V20" s="38">
        <f t="shared" si="26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229679941</v>
      </c>
      <c r="AA20" s="39">
        <f t="shared" si="1"/>
        <v>0.75917519418655166</v>
      </c>
      <c r="AB20" s="40">
        <f>SUM(AB4:AB19)</f>
        <v>1150515565</v>
      </c>
      <c r="AC20" s="40"/>
      <c r="AD20" s="40">
        <f t="shared" ref="AD20:AV20" si="27">SUM(AD4:AD19)</f>
        <v>0</v>
      </c>
      <c r="AE20" s="40">
        <f t="shared" si="27"/>
        <v>240469377</v>
      </c>
      <c r="AF20" s="40">
        <f t="shared" si="27"/>
        <v>0</v>
      </c>
      <c r="AG20" s="40">
        <f t="shared" si="27"/>
        <v>677448534</v>
      </c>
      <c r="AH20" s="40">
        <f t="shared" si="27"/>
        <v>14004396</v>
      </c>
      <c r="AI20" s="40">
        <f t="shared" si="27"/>
        <v>0</v>
      </c>
      <c r="AJ20" s="40">
        <f t="shared" si="27"/>
        <v>0</v>
      </c>
      <c r="AK20" s="40">
        <f t="shared" si="27"/>
        <v>0</v>
      </c>
      <c r="AL20" s="40">
        <f t="shared" si="27"/>
        <v>0</v>
      </c>
      <c r="AM20" s="40">
        <f t="shared" si="27"/>
        <v>0</v>
      </c>
      <c r="AN20" s="40">
        <f t="shared" si="27"/>
        <v>0</v>
      </c>
      <c r="AO20" s="40">
        <f t="shared" si="27"/>
        <v>27578230</v>
      </c>
      <c r="AP20" s="40">
        <f t="shared" si="27"/>
        <v>1796640</v>
      </c>
      <c r="AQ20" s="40">
        <f t="shared" si="27"/>
        <v>0</v>
      </c>
      <c r="AR20" s="40">
        <f t="shared" si="27"/>
        <v>0</v>
      </c>
      <c r="AS20" s="40">
        <f t="shared" si="27"/>
        <v>0</v>
      </c>
      <c r="AT20" s="40">
        <f t="shared" si="27"/>
        <v>0</v>
      </c>
      <c r="AU20" s="40">
        <f t="shared" si="27"/>
        <v>0</v>
      </c>
      <c r="AV20" s="40">
        <f t="shared" si="27"/>
        <v>189218388</v>
      </c>
      <c r="AW20" s="39">
        <f t="shared" si="3"/>
        <v>0.24082480581344834</v>
      </c>
      <c r="AX20" s="40">
        <f t="shared" ref="AX20:BM20" si="28">SUM(AX4:AX19)</f>
        <v>364965412</v>
      </c>
      <c r="AY20" s="40">
        <f t="shared" si="28"/>
        <v>0</v>
      </c>
      <c r="AZ20" s="40">
        <f t="shared" si="28"/>
        <v>209530623</v>
      </c>
      <c r="BA20" s="40">
        <f t="shared" si="28"/>
        <v>0</v>
      </c>
      <c r="BB20" s="40">
        <f t="shared" si="28"/>
        <v>112120020</v>
      </c>
      <c r="BC20" s="40">
        <f t="shared" si="28"/>
        <v>0</v>
      </c>
      <c r="BD20" s="40">
        <f t="shared" si="28"/>
        <v>0</v>
      </c>
      <c r="BE20" s="40">
        <f t="shared" si="28"/>
        <v>0</v>
      </c>
      <c r="BF20" s="40">
        <f t="shared" si="28"/>
        <v>0</v>
      </c>
      <c r="BG20" s="40">
        <f t="shared" si="28"/>
        <v>0</v>
      </c>
      <c r="BH20" s="40">
        <f t="shared" si="28"/>
        <v>0</v>
      </c>
      <c r="BI20" s="40">
        <f t="shared" si="28"/>
        <v>0</v>
      </c>
      <c r="BJ20" s="40">
        <f t="shared" si="28"/>
        <v>2853216</v>
      </c>
      <c r="BK20" s="40">
        <f t="shared" si="28"/>
        <v>0</v>
      </c>
      <c r="BL20" s="40">
        <f t="shared" si="28"/>
        <v>0</v>
      </c>
      <c r="BM20" s="40">
        <f t="shared" si="28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40461553</v>
      </c>
      <c r="BR20" s="39">
        <f t="shared" si="10"/>
        <v>0.75917519418655166</v>
      </c>
      <c r="BS20" s="40">
        <f t="shared" ref="BS20:CI20" si="29">SUM(BS4:BS19)</f>
        <v>1150515565</v>
      </c>
      <c r="BT20" s="40">
        <f t="shared" si="29"/>
        <v>0</v>
      </c>
      <c r="BU20" s="40">
        <f t="shared" si="29"/>
        <v>0</v>
      </c>
      <c r="BV20" s="40">
        <f t="shared" si="29"/>
        <v>240469377</v>
      </c>
      <c r="BW20" s="40">
        <f t="shared" si="29"/>
        <v>0</v>
      </c>
      <c r="BX20" s="40">
        <f t="shared" si="29"/>
        <v>677448534</v>
      </c>
      <c r="BY20" s="40">
        <f t="shared" si="29"/>
        <v>14004396</v>
      </c>
      <c r="BZ20" s="40">
        <f t="shared" si="29"/>
        <v>0</v>
      </c>
      <c r="CA20" s="40">
        <f t="shared" si="29"/>
        <v>0</v>
      </c>
      <c r="CB20" s="40">
        <f t="shared" si="29"/>
        <v>0</v>
      </c>
      <c r="CC20" s="40">
        <f t="shared" si="29"/>
        <v>0</v>
      </c>
      <c r="CD20" s="40">
        <f t="shared" si="29"/>
        <v>0</v>
      </c>
      <c r="CE20" s="40">
        <f t="shared" si="29"/>
        <v>0</v>
      </c>
      <c r="CF20" s="40">
        <f t="shared" si="29"/>
        <v>27578230</v>
      </c>
      <c r="CG20" s="40">
        <f t="shared" si="29"/>
        <v>1796640</v>
      </c>
      <c r="CH20" s="40">
        <f t="shared" si="29"/>
        <v>0</v>
      </c>
      <c r="CI20" s="40">
        <f t="shared" si="29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189218388</v>
      </c>
      <c r="CN20" s="41">
        <f t="shared" si="12"/>
        <v>0.24082480581344834</v>
      </c>
      <c r="CO20" s="40">
        <f t="shared" ref="CO20:DH20" si="30">SUM(CO4:CO19)</f>
        <v>364965412</v>
      </c>
      <c r="CP20" s="40">
        <f t="shared" si="30"/>
        <v>0</v>
      </c>
      <c r="CQ20" s="40">
        <f t="shared" si="30"/>
        <v>209530623</v>
      </c>
      <c r="CR20" s="40">
        <f t="shared" si="30"/>
        <v>0</v>
      </c>
      <c r="CS20" s="40">
        <f t="shared" si="30"/>
        <v>112120020</v>
      </c>
      <c r="CT20" s="40">
        <f t="shared" si="30"/>
        <v>0</v>
      </c>
      <c r="CU20" s="40">
        <f t="shared" si="30"/>
        <v>0</v>
      </c>
      <c r="CV20" s="40">
        <f t="shared" si="30"/>
        <v>0</v>
      </c>
      <c r="CW20" s="40">
        <f t="shared" si="30"/>
        <v>0</v>
      </c>
      <c r="CX20" s="40">
        <f t="shared" si="30"/>
        <v>0</v>
      </c>
      <c r="CY20" s="40">
        <f t="shared" si="30"/>
        <v>0</v>
      </c>
      <c r="CZ20" s="40">
        <f t="shared" si="30"/>
        <v>0</v>
      </c>
      <c r="DA20" s="40">
        <f t="shared" si="30"/>
        <v>2853216</v>
      </c>
      <c r="DB20" s="40">
        <f t="shared" si="30"/>
        <v>0</v>
      </c>
      <c r="DC20" s="40">
        <f t="shared" si="30"/>
        <v>0</v>
      </c>
      <c r="DD20" s="40">
        <f t="shared" si="30"/>
        <v>0</v>
      </c>
      <c r="DE20" s="40">
        <f t="shared" si="30"/>
        <v>0</v>
      </c>
      <c r="DF20" s="40">
        <f t="shared" si="30"/>
        <v>0</v>
      </c>
      <c r="DG20" s="40">
        <f t="shared" si="30"/>
        <v>0</v>
      </c>
      <c r="DH20" s="42">
        <f t="shared" si="30"/>
        <v>40461553</v>
      </c>
    </row>
    <row r="21" spans="1:112" ht="27" customHeight="1" thickTop="1" x14ac:dyDescent="0.25">
      <c r="A21" s="19" t="s">
        <v>87</v>
      </c>
      <c r="B21" s="245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1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2">SUM(AC21:AV21)</f>
        <v>449538252</v>
      </c>
      <c r="AC21" s="24"/>
      <c r="AD21" s="24"/>
      <c r="AE21" s="24">
        <f>+'[9]AGOSTO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48">
        <f t="shared" si="3"/>
        <v>1.0261066666666929E-3</v>
      </c>
      <c r="AX21" s="24">
        <f t="shared" ref="AX21:AX59" si="33">SUM(AY21:BQ21)</f>
        <v>461748</v>
      </c>
      <c r="AY21" s="24">
        <f t="shared" ref="AY21:BA36" si="34">H21-AD21</f>
        <v>0</v>
      </c>
      <c r="AZ21" s="24">
        <f t="shared" si="34"/>
        <v>461748</v>
      </c>
      <c r="BA21" s="24">
        <f t="shared" si="34"/>
        <v>0</v>
      </c>
      <c r="BB21" s="24">
        <f t="shared" ref="BB21:BM23" si="35">+K21-AG21</f>
        <v>0</v>
      </c>
      <c r="BC21" s="24">
        <f t="shared" si="35"/>
        <v>0</v>
      </c>
      <c r="BD21" s="24">
        <f t="shared" si="35"/>
        <v>0</v>
      </c>
      <c r="BE21" s="24">
        <f t="shared" si="35"/>
        <v>0</v>
      </c>
      <c r="BF21" s="24">
        <f t="shared" si="35"/>
        <v>0</v>
      </c>
      <c r="BG21" s="24">
        <f t="shared" si="35"/>
        <v>0</v>
      </c>
      <c r="BH21" s="24">
        <f t="shared" si="35"/>
        <v>0</v>
      </c>
      <c r="BI21" s="24">
        <f t="shared" si="35"/>
        <v>0</v>
      </c>
      <c r="BJ21" s="24">
        <f t="shared" si="35"/>
        <v>0</v>
      </c>
      <c r="BK21" s="24">
        <f t="shared" si="35"/>
        <v>0</v>
      </c>
      <c r="BL21" s="24">
        <f t="shared" si="35"/>
        <v>0</v>
      </c>
      <c r="BM21" s="24">
        <f t="shared" si="35"/>
        <v>0</v>
      </c>
      <c r="BN21" s="24"/>
      <c r="BO21" s="24"/>
      <c r="BP21" s="24"/>
      <c r="BQ21" s="24">
        <f>+Z21-AV21</f>
        <v>0</v>
      </c>
      <c r="BR21" s="48">
        <f t="shared" si="10"/>
        <v>0.99897389333333331</v>
      </c>
      <c r="BS21" s="24">
        <f t="shared" ref="BS21:BS59" si="36">SUM(BT21:CM21)</f>
        <v>449538252</v>
      </c>
      <c r="BT21" s="24"/>
      <c r="BU21" s="24"/>
      <c r="BV21" s="24">
        <f>+'[10]SEPTIEMBRE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5">
        <f t="shared" si="12"/>
        <v>1.0261066666666929E-3</v>
      </c>
      <c r="CO21" s="24">
        <f t="shared" ref="CO21:CO59" si="37">SUM(CP21:DH21)</f>
        <v>461748</v>
      </c>
      <c r="CP21" s="24">
        <f t="shared" ref="CP21:CU36" si="38">H21-BU21</f>
        <v>0</v>
      </c>
      <c r="CQ21" s="24">
        <f t="shared" si="38"/>
        <v>461748</v>
      </c>
      <c r="CR21" s="24">
        <f t="shared" si="38"/>
        <v>0</v>
      </c>
      <c r="CS21" s="24">
        <f t="shared" si="38"/>
        <v>0</v>
      </c>
      <c r="CT21" s="24">
        <f t="shared" si="38"/>
        <v>0</v>
      </c>
      <c r="CU21" s="24">
        <f t="shared" si="38"/>
        <v>0</v>
      </c>
      <c r="CV21" s="24">
        <f t="shared" ref="CV21:CX23" si="39">+N21-CA21</f>
        <v>0</v>
      </c>
      <c r="CW21" s="24">
        <f t="shared" si="39"/>
        <v>0</v>
      </c>
      <c r="CX21" s="24">
        <f t="shared" si="39"/>
        <v>0</v>
      </c>
      <c r="CY21" s="24">
        <f t="shared" ref="CY21:DA23" si="40">Q21-CD21</f>
        <v>0</v>
      </c>
      <c r="CZ21" s="24">
        <f t="shared" si="40"/>
        <v>0</v>
      </c>
      <c r="DA21" s="24">
        <f t="shared" si="40"/>
        <v>0</v>
      </c>
      <c r="DB21" s="24">
        <f t="shared" ref="DB21:DD23" si="41">+T21-CG21</f>
        <v>0</v>
      </c>
      <c r="DC21" s="24">
        <f t="shared" si="41"/>
        <v>0</v>
      </c>
      <c r="DD21" s="24">
        <f t="shared" si="41"/>
        <v>0</v>
      </c>
      <c r="DE21" s="24"/>
      <c r="DF21" s="24">
        <f t="shared" ref="DF21:DH23" si="42">+X21-CK21</f>
        <v>0</v>
      </c>
      <c r="DG21" s="24">
        <f t="shared" si="42"/>
        <v>0</v>
      </c>
      <c r="DH21" s="24">
        <f t="shared" si="42"/>
        <v>0</v>
      </c>
    </row>
    <row r="22" spans="1:112" ht="48.75" customHeight="1" x14ac:dyDescent="0.25">
      <c r="A22" s="30"/>
      <c r="B22" s="240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1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0.99258345333333331</v>
      </c>
      <c r="AB22" s="24">
        <f t="shared" si="32"/>
        <v>148887518</v>
      </c>
      <c r="AC22" s="24"/>
      <c r="AD22" s="24"/>
      <c r="AE22" s="24">
        <f>+'[2]DICIEMBRE 2016'!$M$1693</f>
        <v>148887518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7.4165466666666902E-3</v>
      </c>
      <c r="AX22" s="24">
        <f t="shared" si="33"/>
        <v>1112482</v>
      </c>
      <c r="AY22" s="24">
        <f t="shared" si="34"/>
        <v>0</v>
      </c>
      <c r="AZ22" s="24">
        <f t="shared" si="34"/>
        <v>1112482</v>
      </c>
      <c r="BA22" s="24">
        <f t="shared" si="34"/>
        <v>0</v>
      </c>
      <c r="BB22" s="24">
        <f t="shared" si="35"/>
        <v>0</v>
      </c>
      <c r="BC22" s="24">
        <f t="shared" si="35"/>
        <v>0</v>
      </c>
      <c r="BD22" s="24">
        <f t="shared" si="35"/>
        <v>0</v>
      </c>
      <c r="BE22" s="24">
        <f t="shared" si="35"/>
        <v>0</v>
      </c>
      <c r="BF22" s="24">
        <f t="shared" si="35"/>
        <v>0</v>
      </c>
      <c r="BG22" s="24">
        <f t="shared" si="35"/>
        <v>0</v>
      </c>
      <c r="BH22" s="24">
        <f t="shared" si="35"/>
        <v>0</v>
      </c>
      <c r="BI22" s="24">
        <f t="shared" si="35"/>
        <v>0</v>
      </c>
      <c r="BJ22" s="24">
        <f t="shared" si="35"/>
        <v>0</v>
      </c>
      <c r="BK22" s="24">
        <f t="shared" si="35"/>
        <v>0</v>
      </c>
      <c r="BL22" s="24">
        <f t="shared" si="35"/>
        <v>0</v>
      </c>
      <c r="BM22" s="24">
        <f t="shared" si="35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6"/>
        <v>148887518</v>
      </c>
      <c r="BT22" s="24"/>
      <c r="BU22" s="24"/>
      <c r="BV22" s="24">
        <f>+'[10]SEPTIEMBRE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37"/>
        <v>1112482</v>
      </c>
      <c r="CP22" s="24">
        <f t="shared" si="38"/>
        <v>0</v>
      </c>
      <c r="CQ22" s="24">
        <f t="shared" si="38"/>
        <v>1112482</v>
      </c>
      <c r="CR22" s="24">
        <f t="shared" si="38"/>
        <v>0</v>
      </c>
      <c r="CS22" s="24">
        <f t="shared" si="38"/>
        <v>0</v>
      </c>
      <c r="CT22" s="24">
        <f t="shared" si="38"/>
        <v>0</v>
      </c>
      <c r="CU22" s="24">
        <f t="shared" si="38"/>
        <v>0</v>
      </c>
      <c r="CV22" s="24">
        <f t="shared" si="39"/>
        <v>0</v>
      </c>
      <c r="CW22" s="24">
        <f t="shared" si="39"/>
        <v>0</v>
      </c>
      <c r="CX22" s="24">
        <f t="shared" si="39"/>
        <v>0</v>
      </c>
      <c r="CY22" s="24">
        <f t="shared" si="40"/>
        <v>0</v>
      </c>
      <c r="CZ22" s="24">
        <f t="shared" si="40"/>
        <v>0</v>
      </c>
      <c r="DA22" s="24">
        <f t="shared" si="40"/>
        <v>0</v>
      </c>
      <c r="DB22" s="24">
        <f t="shared" si="41"/>
        <v>0</v>
      </c>
      <c r="DC22" s="24">
        <f t="shared" si="41"/>
        <v>0</v>
      </c>
      <c r="DD22" s="24">
        <f t="shared" si="41"/>
        <v>0</v>
      </c>
      <c r="DE22" s="24"/>
      <c r="DF22" s="24">
        <f t="shared" si="42"/>
        <v>0</v>
      </c>
      <c r="DG22" s="24">
        <f t="shared" si="42"/>
        <v>0</v>
      </c>
      <c r="DH22" s="24">
        <f t="shared" si="42"/>
        <v>0</v>
      </c>
    </row>
    <row r="23" spans="1:112" ht="33.75" customHeight="1" x14ac:dyDescent="0.25">
      <c r="A23" s="30"/>
      <c r="B23" s="241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1"/>
        <v>959325162</v>
      </c>
      <c r="H23" s="24"/>
      <c r="I23" s="24">
        <f>200000000+400000000+39616700+228708462+75000000</f>
        <v>943325162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0.99622002721950909</v>
      </c>
      <c r="AB23" s="24">
        <f t="shared" si="32"/>
        <v>955698939</v>
      </c>
      <c r="AC23" s="24"/>
      <c r="AD23" s="24"/>
      <c r="AE23" s="24">
        <f>+'[4]DICIEMBRE 2016'!$M$1700</f>
        <v>943133259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+'[2]DICIEMBRE 2016'!$AG$1711</f>
        <v>12565680</v>
      </c>
      <c r="AW23" s="25">
        <f t="shared" si="3"/>
        <v>3.7799727804909145E-3</v>
      </c>
      <c r="AX23" s="24">
        <f t="shared" si="33"/>
        <v>3626223</v>
      </c>
      <c r="AY23" s="24">
        <f t="shared" si="34"/>
        <v>0</v>
      </c>
      <c r="AZ23" s="24">
        <f t="shared" si="34"/>
        <v>191903</v>
      </c>
      <c r="BA23" s="24">
        <f t="shared" si="34"/>
        <v>0</v>
      </c>
      <c r="BB23" s="24">
        <f t="shared" si="35"/>
        <v>0</v>
      </c>
      <c r="BC23" s="24">
        <f t="shared" si="35"/>
        <v>0</v>
      </c>
      <c r="BD23" s="24">
        <f t="shared" si="35"/>
        <v>0</v>
      </c>
      <c r="BE23" s="24">
        <f t="shared" si="35"/>
        <v>0</v>
      </c>
      <c r="BF23" s="24">
        <f t="shared" si="35"/>
        <v>0</v>
      </c>
      <c r="BG23" s="24">
        <f t="shared" si="35"/>
        <v>0</v>
      </c>
      <c r="BH23" s="24">
        <f t="shared" si="35"/>
        <v>0</v>
      </c>
      <c r="BI23" s="24">
        <f t="shared" si="35"/>
        <v>0</v>
      </c>
      <c r="BJ23" s="24">
        <f t="shared" si="35"/>
        <v>0</v>
      </c>
      <c r="BK23" s="24">
        <f t="shared" si="35"/>
        <v>0</v>
      </c>
      <c r="BL23" s="24">
        <f t="shared" si="35"/>
        <v>0</v>
      </c>
      <c r="BM23" s="24">
        <f t="shared" si="35"/>
        <v>0</v>
      </c>
      <c r="BN23" s="24"/>
      <c r="BO23" s="24"/>
      <c r="BP23" s="24"/>
      <c r="BQ23" s="24">
        <f>+Z23-AV23</f>
        <v>3434320</v>
      </c>
      <c r="BR23" s="25">
        <f t="shared" si="10"/>
        <v>0.99622002721950909</v>
      </c>
      <c r="BS23" s="24">
        <f t="shared" si="36"/>
        <v>955698939</v>
      </c>
      <c r="BT23" s="24"/>
      <c r="BU23" s="24"/>
      <c r="BV23" s="24">
        <f>+'[4]DICIEMBRE 2016'!$M$1700</f>
        <v>943133259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+'[2]DICIEMBRE 2016'!$AG$1711</f>
        <v>12565680</v>
      </c>
      <c r="CN23" s="25">
        <f t="shared" si="12"/>
        <v>3.7799727804909145E-3</v>
      </c>
      <c r="CO23" s="24">
        <f t="shared" si="37"/>
        <v>3626223</v>
      </c>
      <c r="CP23" s="24">
        <f t="shared" si="38"/>
        <v>0</v>
      </c>
      <c r="CQ23" s="24">
        <f t="shared" si="38"/>
        <v>191903</v>
      </c>
      <c r="CR23" s="24">
        <f t="shared" si="38"/>
        <v>0</v>
      </c>
      <c r="CS23" s="24">
        <f t="shared" si="38"/>
        <v>0</v>
      </c>
      <c r="CT23" s="24">
        <f t="shared" si="38"/>
        <v>0</v>
      </c>
      <c r="CU23" s="24">
        <f t="shared" si="38"/>
        <v>0</v>
      </c>
      <c r="CV23" s="24">
        <f t="shared" si="39"/>
        <v>0</v>
      </c>
      <c r="CW23" s="24">
        <f t="shared" si="39"/>
        <v>0</v>
      </c>
      <c r="CX23" s="24">
        <f t="shared" si="39"/>
        <v>0</v>
      </c>
      <c r="CY23" s="24">
        <f t="shared" si="40"/>
        <v>0</v>
      </c>
      <c r="CZ23" s="24">
        <f t="shared" si="40"/>
        <v>0</v>
      </c>
      <c r="DA23" s="24">
        <f t="shared" si="40"/>
        <v>0</v>
      </c>
      <c r="DB23" s="24">
        <f t="shared" si="41"/>
        <v>0</v>
      </c>
      <c r="DC23" s="24">
        <f t="shared" si="41"/>
        <v>0</v>
      </c>
      <c r="DD23" s="24">
        <f t="shared" si="41"/>
        <v>0</v>
      </c>
      <c r="DE23" s="24"/>
      <c r="DF23" s="24">
        <f t="shared" si="42"/>
        <v>0</v>
      </c>
      <c r="DG23" s="24">
        <f t="shared" si="42"/>
        <v>0</v>
      </c>
      <c r="DH23" s="24">
        <f t="shared" si="42"/>
        <v>3434320</v>
      </c>
    </row>
    <row r="24" spans="1:112" ht="34.5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1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0.98675661999999997</v>
      </c>
      <c r="AB24" s="24">
        <f t="shared" si="32"/>
        <v>49337831</v>
      </c>
      <c r="AC24" s="24"/>
      <c r="AD24" s="24"/>
      <c r="AE24" s="24">
        <f>+'[4]DICIEMBRE 2016'!$M$1772</f>
        <v>49337831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1.3243380000000027E-2</v>
      </c>
      <c r="AX24" s="24">
        <f t="shared" si="33"/>
        <v>662169</v>
      </c>
      <c r="AY24" s="24"/>
      <c r="AZ24" s="24">
        <f t="shared" si="34"/>
        <v>662169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0.98675661999999997</v>
      </c>
      <c r="BS24" s="24">
        <f t="shared" si="36"/>
        <v>49337831</v>
      </c>
      <c r="BT24" s="24"/>
      <c r="BU24" s="24"/>
      <c r="BV24" s="24">
        <f>+'[4]DICIEMBRE 2016'!$M$1772</f>
        <v>49337831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1.3243380000000027E-2</v>
      </c>
      <c r="CO24" s="24">
        <f t="shared" si="37"/>
        <v>662169</v>
      </c>
      <c r="CP24" s="24"/>
      <c r="CQ24" s="24">
        <f t="shared" si="38"/>
        <v>662169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</row>
    <row r="25" spans="1:112" ht="48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1"/>
        <v>175000000</v>
      </c>
      <c r="H25" s="24"/>
      <c r="I25" s="24">
        <f>250000000-75000000</f>
        <v>175000000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0.38839961142857143</v>
      </c>
      <c r="AB25" s="24">
        <f t="shared" si="32"/>
        <v>67969932</v>
      </c>
      <c r="AC25" s="24"/>
      <c r="AD25" s="24"/>
      <c r="AE25" s="24">
        <f>+'[4]DICIEMBRE 2016'!$M$1790</f>
        <v>67969932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0.61160038857142851</v>
      </c>
      <c r="AX25" s="24">
        <f t="shared" si="33"/>
        <v>107030068</v>
      </c>
      <c r="AY25" s="24"/>
      <c r="AZ25" s="24">
        <f t="shared" si="34"/>
        <v>107030068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0.38839961142857143</v>
      </c>
      <c r="BS25" s="24">
        <f t="shared" si="36"/>
        <v>67969932</v>
      </c>
      <c r="BT25" s="24"/>
      <c r="BU25" s="24"/>
      <c r="BV25" s="24">
        <f>+'[4]DICIEMBRE 2016'!$H$1788</f>
        <v>67969932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0.61160038857142851</v>
      </c>
      <c r="CO25" s="24">
        <f t="shared" si="37"/>
        <v>107030068</v>
      </c>
      <c r="CP25" s="24"/>
      <c r="CQ25" s="24">
        <f t="shared" si="38"/>
        <v>107030068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</row>
    <row r="26" spans="1:112" ht="36" customHeight="1" x14ac:dyDescent="0.25">
      <c r="A26" s="30"/>
      <c r="B26" s="239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1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0.5699999</v>
      </c>
      <c r="AB26" s="24">
        <f t="shared" si="32"/>
        <v>5699999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+'[4]DICIEMBRE 2016'!$G$1827</f>
        <v>5699999</v>
      </c>
      <c r="AR26" s="24"/>
      <c r="AS26" s="24"/>
      <c r="AT26" s="24"/>
      <c r="AU26" s="24"/>
      <c r="AV26" s="24"/>
      <c r="AW26" s="25">
        <f t="shared" si="3"/>
        <v>0.4300001</v>
      </c>
      <c r="AX26" s="24">
        <f t="shared" si="33"/>
        <v>4300001</v>
      </c>
      <c r="AY26" s="24">
        <f t="shared" ref="AY26:BM59" si="43">H26-AD26</f>
        <v>0</v>
      </c>
      <c r="AZ26" s="24">
        <f t="shared" si="34"/>
        <v>0</v>
      </c>
      <c r="BA26" s="24">
        <f t="shared" si="34"/>
        <v>0</v>
      </c>
      <c r="BB26" s="24">
        <f t="shared" ref="BB26:BM37" si="44">+K26-AG26</f>
        <v>0</v>
      </c>
      <c r="BC26" s="24">
        <f t="shared" si="44"/>
        <v>0</v>
      </c>
      <c r="BD26" s="24">
        <f t="shared" si="44"/>
        <v>0</v>
      </c>
      <c r="BE26" s="24">
        <f t="shared" si="44"/>
        <v>0</v>
      </c>
      <c r="BF26" s="24">
        <f t="shared" si="44"/>
        <v>0</v>
      </c>
      <c r="BG26" s="24">
        <f t="shared" si="44"/>
        <v>0</v>
      </c>
      <c r="BH26" s="24">
        <f t="shared" si="44"/>
        <v>0</v>
      </c>
      <c r="BI26" s="24">
        <f t="shared" si="44"/>
        <v>0</v>
      </c>
      <c r="BJ26" s="24">
        <f t="shared" si="44"/>
        <v>0</v>
      </c>
      <c r="BK26" s="24">
        <f t="shared" si="44"/>
        <v>0</v>
      </c>
      <c r="BL26" s="24">
        <f t="shared" si="44"/>
        <v>4300001</v>
      </c>
      <c r="BM26" s="24">
        <f t="shared" si="44"/>
        <v>0</v>
      </c>
      <c r="BN26" s="24"/>
      <c r="BO26" s="24"/>
      <c r="BP26" s="24"/>
      <c r="BQ26" s="24">
        <f t="shared" ref="BQ26:BQ37" si="45">+Z26-AV26</f>
        <v>0</v>
      </c>
      <c r="BR26" s="25">
        <f t="shared" si="10"/>
        <v>0.5699999</v>
      </c>
      <c r="BS26" s="24">
        <f t="shared" si="36"/>
        <v>5699999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+'[4]DICIEMBRE 2016'!$H$1827</f>
        <v>5699999</v>
      </c>
      <c r="CI26" s="24"/>
      <c r="CJ26" s="24"/>
      <c r="CK26" s="24"/>
      <c r="CL26" s="24"/>
      <c r="CM26" s="24"/>
      <c r="CN26" s="25">
        <f t="shared" si="12"/>
        <v>0.4300001</v>
      </c>
      <c r="CO26" s="24">
        <f t="shared" si="37"/>
        <v>4300001</v>
      </c>
      <c r="CP26" s="24">
        <f t="shared" ref="CP26:CU59" si="46">H26-BU26</f>
        <v>0</v>
      </c>
      <c r="CQ26" s="24">
        <f t="shared" si="38"/>
        <v>0</v>
      </c>
      <c r="CR26" s="24">
        <f t="shared" si="38"/>
        <v>0</v>
      </c>
      <c r="CS26" s="24">
        <f t="shared" si="38"/>
        <v>0</v>
      </c>
      <c r="CT26" s="24">
        <f t="shared" si="38"/>
        <v>0</v>
      </c>
      <c r="CU26" s="24">
        <f t="shared" si="38"/>
        <v>0</v>
      </c>
      <c r="CV26" s="24">
        <f t="shared" ref="CV26:CX37" si="47">+N26-CA26</f>
        <v>0</v>
      </c>
      <c r="CW26" s="24">
        <f t="shared" si="47"/>
        <v>0</v>
      </c>
      <c r="CX26" s="24">
        <f t="shared" si="47"/>
        <v>0</v>
      </c>
      <c r="CY26" s="24">
        <f t="shared" ref="CY26:DD47" si="48">Q26-CD26</f>
        <v>0</v>
      </c>
      <c r="CZ26" s="24">
        <f t="shared" si="48"/>
        <v>0</v>
      </c>
      <c r="DA26" s="24">
        <f t="shared" si="48"/>
        <v>0</v>
      </c>
      <c r="DB26" s="24">
        <f t="shared" ref="DB26:DD31" si="49">+T26-CG26</f>
        <v>0</v>
      </c>
      <c r="DC26" s="24">
        <f t="shared" si="49"/>
        <v>4300001</v>
      </c>
      <c r="DD26" s="24">
        <f t="shared" si="49"/>
        <v>0</v>
      </c>
      <c r="DE26" s="24"/>
      <c r="DF26" s="24">
        <f t="shared" ref="DF26:DH31" si="50">+X26-CK26</f>
        <v>0</v>
      </c>
      <c r="DG26" s="24">
        <f t="shared" si="50"/>
        <v>0</v>
      </c>
      <c r="DH26" s="24">
        <f t="shared" si="50"/>
        <v>0</v>
      </c>
    </row>
    <row r="27" spans="1:112" ht="33" customHeight="1" x14ac:dyDescent="0.25">
      <c r="A27" s="30"/>
      <c r="B27" s="240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1"/>
        <v>20000000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f>10000000+10000000</f>
        <v>20000000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2"/>
        <v>20000000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+'[5]NOVIEMBRE 2016'!$Y$1737</f>
        <v>20000000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3"/>
        <v>0</v>
      </c>
      <c r="AY27" s="24">
        <f t="shared" si="43"/>
        <v>0</v>
      </c>
      <c r="AZ27" s="24">
        <f t="shared" si="34"/>
        <v>0</v>
      </c>
      <c r="BA27" s="24">
        <f t="shared" si="34"/>
        <v>0</v>
      </c>
      <c r="BB27" s="24">
        <f t="shared" si="44"/>
        <v>0</v>
      </c>
      <c r="BC27" s="24">
        <f t="shared" si="44"/>
        <v>0</v>
      </c>
      <c r="BD27" s="24">
        <f t="shared" si="44"/>
        <v>0</v>
      </c>
      <c r="BE27" s="24">
        <f t="shared" si="44"/>
        <v>0</v>
      </c>
      <c r="BF27" s="24">
        <f t="shared" si="44"/>
        <v>0</v>
      </c>
      <c r="BG27" s="24">
        <f t="shared" si="44"/>
        <v>0</v>
      </c>
      <c r="BH27" s="24">
        <f t="shared" si="44"/>
        <v>0</v>
      </c>
      <c r="BI27" s="24">
        <f t="shared" si="44"/>
        <v>0</v>
      </c>
      <c r="BJ27" s="24">
        <f t="shared" si="44"/>
        <v>0</v>
      </c>
      <c r="BK27" s="24">
        <f t="shared" si="44"/>
        <v>0</v>
      </c>
      <c r="BL27" s="24">
        <f t="shared" si="44"/>
        <v>0</v>
      </c>
      <c r="BM27" s="24">
        <f t="shared" si="44"/>
        <v>0</v>
      </c>
      <c r="BN27" s="24"/>
      <c r="BO27" s="24"/>
      <c r="BP27" s="24"/>
      <c r="BQ27" s="24">
        <f t="shared" si="45"/>
        <v>0</v>
      </c>
      <c r="BR27" s="25">
        <f t="shared" si="10"/>
        <v>1</v>
      </c>
      <c r="BS27" s="24">
        <f t="shared" si="36"/>
        <v>20000000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+'[5]NOVIEMBRE 2016'!$H$1735</f>
        <v>20000000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37"/>
        <v>0</v>
      </c>
      <c r="CP27" s="24">
        <f t="shared" si="46"/>
        <v>0</v>
      </c>
      <c r="CQ27" s="24">
        <f t="shared" si="38"/>
        <v>0</v>
      </c>
      <c r="CR27" s="24">
        <f t="shared" si="38"/>
        <v>0</v>
      </c>
      <c r="CS27" s="24">
        <f t="shared" si="38"/>
        <v>0</v>
      </c>
      <c r="CT27" s="24">
        <f t="shared" si="38"/>
        <v>0</v>
      </c>
      <c r="CU27" s="24">
        <f t="shared" si="38"/>
        <v>0</v>
      </c>
      <c r="CV27" s="24">
        <f t="shared" si="47"/>
        <v>0</v>
      </c>
      <c r="CW27" s="24">
        <f t="shared" si="47"/>
        <v>0</v>
      </c>
      <c r="CX27" s="24">
        <f t="shared" si="47"/>
        <v>0</v>
      </c>
      <c r="CY27" s="24">
        <f t="shared" si="48"/>
        <v>0</v>
      </c>
      <c r="CZ27" s="24">
        <f t="shared" si="48"/>
        <v>0</v>
      </c>
      <c r="DA27" s="24">
        <f t="shared" si="48"/>
        <v>0</v>
      </c>
      <c r="DB27" s="24">
        <f t="shared" si="49"/>
        <v>0</v>
      </c>
      <c r="DC27" s="24">
        <f t="shared" si="49"/>
        <v>0</v>
      </c>
      <c r="DD27" s="24">
        <f t="shared" si="49"/>
        <v>0</v>
      </c>
      <c r="DE27" s="24"/>
      <c r="DF27" s="24">
        <f t="shared" si="50"/>
        <v>0</v>
      </c>
      <c r="DG27" s="24">
        <f t="shared" si="50"/>
        <v>0</v>
      </c>
      <c r="DH27" s="24">
        <f t="shared" si="50"/>
        <v>0</v>
      </c>
    </row>
    <row r="28" spans="1:112" ht="36.75" hidden="1" customHeight="1" x14ac:dyDescent="0.25">
      <c r="A28" s="30"/>
      <c r="B28" s="240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1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2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3"/>
        <v>0</v>
      </c>
      <c r="AY28" s="24">
        <f t="shared" si="43"/>
        <v>0</v>
      </c>
      <c r="AZ28" s="24">
        <f t="shared" si="34"/>
        <v>0</v>
      </c>
      <c r="BA28" s="24">
        <f t="shared" si="34"/>
        <v>0</v>
      </c>
      <c r="BB28" s="24">
        <f t="shared" si="44"/>
        <v>0</v>
      </c>
      <c r="BC28" s="24">
        <f t="shared" si="44"/>
        <v>0</v>
      </c>
      <c r="BD28" s="24">
        <f t="shared" si="44"/>
        <v>0</v>
      </c>
      <c r="BE28" s="24">
        <f t="shared" si="44"/>
        <v>0</v>
      </c>
      <c r="BF28" s="24">
        <f t="shared" si="44"/>
        <v>0</v>
      </c>
      <c r="BG28" s="24">
        <f t="shared" si="44"/>
        <v>0</v>
      </c>
      <c r="BH28" s="24">
        <f t="shared" si="44"/>
        <v>0</v>
      </c>
      <c r="BI28" s="24">
        <f t="shared" si="44"/>
        <v>0</v>
      </c>
      <c r="BJ28" s="24">
        <f t="shared" si="44"/>
        <v>0</v>
      </c>
      <c r="BK28" s="24">
        <f t="shared" si="44"/>
        <v>0</v>
      </c>
      <c r="BL28" s="24">
        <f t="shared" si="44"/>
        <v>0</v>
      </c>
      <c r="BM28" s="24">
        <f t="shared" si="44"/>
        <v>0</v>
      </c>
      <c r="BN28" s="24"/>
      <c r="BO28" s="24"/>
      <c r="BP28" s="24"/>
      <c r="BQ28" s="24">
        <f t="shared" si="45"/>
        <v>0</v>
      </c>
      <c r="BR28" s="25" t="e">
        <f t="shared" si="10"/>
        <v>#DIV/0!</v>
      </c>
      <c r="BS28" s="24">
        <f t="shared" si="36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37"/>
        <v>0</v>
      </c>
      <c r="CP28" s="24">
        <f t="shared" si="46"/>
        <v>0</v>
      </c>
      <c r="CQ28" s="24">
        <f t="shared" si="38"/>
        <v>0</v>
      </c>
      <c r="CR28" s="24">
        <f t="shared" si="38"/>
        <v>0</v>
      </c>
      <c r="CS28" s="24">
        <f t="shared" si="38"/>
        <v>0</v>
      </c>
      <c r="CT28" s="24">
        <f t="shared" si="38"/>
        <v>0</v>
      </c>
      <c r="CU28" s="24">
        <f t="shared" si="38"/>
        <v>0</v>
      </c>
      <c r="CV28" s="24">
        <f t="shared" si="47"/>
        <v>0</v>
      </c>
      <c r="CW28" s="24">
        <f t="shared" si="47"/>
        <v>0</v>
      </c>
      <c r="CX28" s="24">
        <f t="shared" si="47"/>
        <v>0</v>
      </c>
      <c r="CY28" s="24">
        <f t="shared" si="48"/>
        <v>0</v>
      </c>
      <c r="CZ28" s="24">
        <f t="shared" si="48"/>
        <v>0</v>
      </c>
      <c r="DA28" s="24">
        <f t="shared" si="48"/>
        <v>0</v>
      </c>
      <c r="DB28" s="24">
        <f t="shared" si="49"/>
        <v>0</v>
      </c>
      <c r="DC28" s="24">
        <f t="shared" si="49"/>
        <v>0</v>
      </c>
      <c r="DD28" s="24">
        <f t="shared" si="49"/>
        <v>0</v>
      </c>
      <c r="DE28" s="24"/>
      <c r="DF28" s="24">
        <f t="shared" si="50"/>
        <v>0</v>
      </c>
      <c r="DG28" s="24">
        <f t="shared" si="50"/>
        <v>0</v>
      </c>
      <c r="DH28" s="24">
        <f t="shared" si="50"/>
        <v>0</v>
      </c>
    </row>
    <row r="29" spans="1:112" ht="33.75" customHeight="1" x14ac:dyDescent="0.25">
      <c r="A29" s="30"/>
      <c r="B29" s="240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1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0.86802470370370366</v>
      </c>
      <c r="AB29" s="24">
        <f t="shared" si="32"/>
        <v>23436667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+'[4]DICIEMBRE 2016'!$Y$1854</f>
        <v>23436667</v>
      </c>
      <c r="AR29" s="24"/>
      <c r="AS29" s="24"/>
      <c r="AT29" s="24"/>
      <c r="AU29" s="24"/>
      <c r="AV29" s="24"/>
      <c r="AW29" s="25">
        <f t="shared" si="3"/>
        <v>0.13197529629629634</v>
      </c>
      <c r="AX29" s="24">
        <f t="shared" si="33"/>
        <v>3563333</v>
      </c>
      <c r="AY29" s="24">
        <f t="shared" si="43"/>
        <v>0</v>
      </c>
      <c r="AZ29" s="24">
        <f t="shared" si="34"/>
        <v>0</v>
      </c>
      <c r="BA29" s="24">
        <f t="shared" si="34"/>
        <v>0</v>
      </c>
      <c r="BB29" s="24">
        <f t="shared" si="44"/>
        <v>0</v>
      </c>
      <c r="BC29" s="24">
        <f t="shared" si="44"/>
        <v>0</v>
      </c>
      <c r="BD29" s="24">
        <f t="shared" si="44"/>
        <v>0</v>
      </c>
      <c r="BE29" s="24">
        <f t="shared" si="44"/>
        <v>0</v>
      </c>
      <c r="BF29" s="24">
        <f t="shared" si="44"/>
        <v>0</v>
      </c>
      <c r="BG29" s="24">
        <f t="shared" si="44"/>
        <v>0</v>
      </c>
      <c r="BH29" s="24">
        <f t="shared" si="44"/>
        <v>0</v>
      </c>
      <c r="BI29" s="24">
        <f t="shared" si="44"/>
        <v>0</v>
      </c>
      <c r="BJ29" s="24">
        <f t="shared" si="44"/>
        <v>0</v>
      </c>
      <c r="BK29" s="24">
        <f t="shared" si="44"/>
        <v>0</v>
      </c>
      <c r="BL29" s="24">
        <f t="shared" si="44"/>
        <v>3563333</v>
      </c>
      <c r="BM29" s="24">
        <f t="shared" si="44"/>
        <v>0</v>
      </c>
      <c r="BN29" s="24"/>
      <c r="BO29" s="24"/>
      <c r="BP29" s="24"/>
      <c r="BQ29" s="24">
        <f t="shared" si="45"/>
        <v>0</v>
      </c>
      <c r="BR29" s="25">
        <f t="shared" si="10"/>
        <v>0.86802470370370366</v>
      </c>
      <c r="BS29" s="24">
        <f t="shared" si="36"/>
        <v>23436667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+'[4]DICIEMBRE 2016'!$Y$1854</f>
        <v>23436667</v>
      </c>
      <c r="CI29" s="24"/>
      <c r="CJ29" s="24"/>
      <c r="CK29" s="24"/>
      <c r="CL29" s="24"/>
      <c r="CM29" s="24"/>
      <c r="CN29" s="25">
        <f t="shared" si="12"/>
        <v>0.13197529629629634</v>
      </c>
      <c r="CO29" s="24">
        <f t="shared" si="37"/>
        <v>3563333</v>
      </c>
      <c r="CP29" s="24">
        <f t="shared" si="46"/>
        <v>0</v>
      </c>
      <c r="CQ29" s="24">
        <f t="shared" si="38"/>
        <v>0</v>
      </c>
      <c r="CR29" s="24">
        <f t="shared" si="38"/>
        <v>0</v>
      </c>
      <c r="CS29" s="24">
        <f t="shared" si="38"/>
        <v>0</v>
      </c>
      <c r="CT29" s="24">
        <f t="shared" si="38"/>
        <v>0</v>
      </c>
      <c r="CU29" s="24">
        <f t="shared" si="38"/>
        <v>0</v>
      </c>
      <c r="CV29" s="24">
        <f t="shared" si="47"/>
        <v>0</v>
      </c>
      <c r="CW29" s="24">
        <f t="shared" si="47"/>
        <v>0</v>
      </c>
      <c r="CX29" s="24">
        <f t="shared" si="47"/>
        <v>0</v>
      </c>
      <c r="CY29" s="24">
        <f t="shared" si="48"/>
        <v>0</v>
      </c>
      <c r="CZ29" s="24">
        <f t="shared" si="48"/>
        <v>0</v>
      </c>
      <c r="DA29" s="24">
        <f t="shared" si="48"/>
        <v>0</v>
      </c>
      <c r="DB29" s="24">
        <f t="shared" si="49"/>
        <v>0</v>
      </c>
      <c r="DC29" s="24">
        <f t="shared" si="49"/>
        <v>3563333</v>
      </c>
      <c r="DD29" s="24">
        <f t="shared" si="49"/>
        <v>0</v>
      </c>
      <c r="DE29" s="24"/>
      <c r="DF29" s="24">
        <f t="shared" si="50"/>
        <v>0</v>
      </c>
      <c r="DG29" s="24">
        <f t="shared" si="50"/>
        <v>0</v>
      </c>
      <c r="DH29" s="24">
        <f t="shared" si="50"/>
        <v>0</v>
      </c>
    </row>
    <row r="30" spans="1:112" ht="37.5" customHeight="1" x14ac:dyDescent="0.25">
      <c r="A30" s="30"/>
      <c r="B30" s="240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1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0.91219008994276374</v>
      </c>
      <c r="AB30" s="24">
        <f t="shared" si="32"/>
        <v>111560848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+'[4]DICIEMBRE 2016'!$Y$1868</f>
        <v>99183605</v>
      </c>
      <c r="AR30" s="24"/>
      <c r="AS30" s="24"/>
      <c r="AT30" s="24"/>
      <c r="AU30" s="24"/>
      <c r="AV30" s="24">
        <v>1150500</v>
      </c>
      <c r="AW30" s="25">
        <f t="shared" si="3"/>
        <v>8.7809910057236262E-2</v>
      </c>
      <c r="AX30" s="24">
        <f t="shared" si="33"/>
        <v>10739152</v>
      </c>
      <c r="AY30" s="24">
        <f t="shared" si="43"/>
        <v>0</v>
      </c>
      <c r="AZ30" s="24">
        <f t="shared" si="34"/>
        <v>0</v>
      </c>
      <c r="BA30" s="24">
        <f t="shared" si="34"/>
        <v>0</v>
      </c>
      <c r="BB30" s="24">
        <f t="shared" si="44"/>
        <v>0</v>
      </c>
      <c r="BC30" s="24">
        <f t="shared" si="44"/>
        <v>0</v>
      </c>
      <c r="BD30" s="24">
        <f t="shared" si="44"/>
        <v>0</v>
      </c>
      <c r="BE30" s="24">
        <f t="shared" si="44"/>
        <v>0</v>
      </c>
      <c r="BF30" s="24">
        <f t="shared" si="44"/>
        <v>0</v>
      </c>
      <c r="BG30" s="24">
        <f t="shared" si="44"/>
        <v>0</v>
      </c>
      <c r="BH30" s="24">
        <f t="shared" si="44"/>
        <v>0</v>
      </c>
      <c r="BI30" s="24">
        <f t="shared" si="44"/>
        <v>6073257</v>
      </c>
      <c r="BJ30" s="24">
        <f t="shared" si="44"/>
        <v>0</v>
      </c>
      <c r="BK30" s="24">
        <f t="shared" si="44"/>
        <v>0</v>
      </c>
      <c r="BL30" s="24">
        <f t="shared" si="44"/>
        <v>816395</v>
      </c>
      <c r="BM30" s="24">
        <f t="shared" si="44"/>
        <v>0</v>
      </c>
      <c r="BN30" s="24"/>
      <c r="BO30" s="24"/>
      <c r="BP30" s="24"/>
      <c r="BQ30" s="24">
        <f t="shared" si="45"/>
        <v>3849500</v>
      </c>
      <c r="BR30" s="25">
        <f t="shared" si="10"/>
        <v>0.91219008994276374</v>
      </c>
      <c r="BS30" s="24">
        <f t="shared" si="36"/>
        <v>111560848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+'[4]DICIEMBRE 2016'!$Y$1868</f>
        <v>99183605</v>
      </c>
      <c r="CI30" s="24"/>
      <c r="CJ30" s="24"/>
      <c r="CK30" s="24"/>
      <c r="CL30" s="24"/>
      <c r="CM30" s="24">
        <v>1150500</v>
      </c>
      <c r="CN30" s="25">
        <f t="shared" si="12"/>
        <v>8.7809910057236262E-2</v>
      </c>
      <c r="CO30" s="24">
        <f t="shared" si="37"/>
        <v>10739152</v>
      </c>
      <c r="CP30" s="24">
        <f t="shared" si="46"/>
        <v>0</v>
      </c>
      <c r="CQ30" s="24">
        <f t="shared" si="38"/>
        <v>0</v>
      </c>
      <c r="CR30" s="24">
        <f t="shared" si="38"/>
        <v>0</v>
      </c>
      <c r="CS30" s="24">
        <f t="shared" si="38"/>
        <v>0</v>
      </c>
      <c r="CT30" s="24">
        <f t="shared" si="38"/>
        <v>0</v>
      </c>
      <c r="CU30" s="24">
        <f t="shared" si="38"/>
        <v>0</v>
      </c>
      <c r="CV30" s="24">
        <f t="shared" si="47"/>
        <v>0</v>
      </c>
      <c r="CW30" s="24">
        <f t="shared" si="47"/>
        <v>0</v>
      </c>
      <c r="CX30" s="24">
        <f t="shared" si="47"/>
        <v>0</v>
      </c>
      <c r="CY30" s="24">
        <f t="shared" si="48"/>
        <v>0</v>
      </c>
      <c r="CZ30" s="24">
        <f t="shared" si="48"/>
        <v>6073257</v>
      </c>
      <c r="DA30" s="24">
        <f t="shared" si="48"/>
        <v>0</v>
      </c>
      <c r="DB30" s="24">
        <f t="shared" si="49"/>
        <v>0</v>
      </c>
      <c r="DC30" s="24">
        <f t="shared" si="49"/>
        <v>816395</v>
      </c>
      <c r="DD30" s="24">
        <f t="shared" si="49"/>
        <v>0</v>
      </c>
      <c r="DE30" s="24"/>
      <c r="DF30" s="24">
        <f t="shared" si="50"/>
        <v>0</v>
      </c>
      <c r="DG30" s="24">
        <f t="shared" si="50"/>
        <v>0</v>
      </c>
      <c r="DH30" s="24">
        <f t="shared" si="50"/>
        <v>3849500</v>
      </c>
    </row>
    <row r="31" spans="1:112" ht="33.75" customHeight="1" x14ac:dyDescent="0.25">
      <c r="A31" s="30"/>
      <c r="B31" s="240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1"/>
        <v>90000000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f>100000000-10000000</f>
        <v>90000000</v>
      </c>
      <c r="V31" s="24"/>
      <c r="W31" s="24"/>
      <c r="X31" s="24"/>
      <c r="Y31" s="24"/>
      <c r="Z31" s="24"/>
      <c r="AA31" s="25">
        <f t="shared" si="1"/>
        <v>0.98921490000000001</v>
      </c>
      <c r="AB31" s="24">
        <f t="shared" si="32"/>
        <v>89029341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+'[4]DICIEMBRE 2016'!$Y$1926</f>
        <v>89029341</v>
      </c>
      <c r="AR31" s="24"/>
      <c r="AS31" s="24"/>
      <c r="AT31" s="24"/>
      <c r="AU31" s="24"/>
      <c r="AV31" s="24"/>
      <c r="AW31" s="25">
        <f t="shared" si="3"/>
        <v>1.0785099999999992E-2</v>
      </c>
      <c r="AX31" s="24">
        <f t="shared" si="33"/>
        <v>970659</v>
      </c>
      <c r="AY31" s="24">
        <f t="shared" si="43"/>
        <v>0</v>
      </c>
      <c r="AZ31" s="24">
        <f t="shared" si="34"/>
        <v>0</v>
      </c>
      <c r="BA31" s="24">
        <f t="shared" si="34"/>
        <v>0</v>
      </c>
      <c r="BB31" s="24">
        <f t="shared" si="44"/>
        <v>0</v>
      </c>
      <c r="BC31" s="24">
        <f t="shared" si="44"/>
        <v>0</v>
      </c>
      <c r="BD31" s="24">
        <f t="shared" si="44"/>
        <v>0</v>
      </c>
      <c r="BE31" s="24">
        <f t="shared" si="44"/>
        <v>0</v>
      </c>
      <c r="BF31" s="24">
        <f t="shared" si="44"/>
        <v>0</v>
      </c>
      <c r="BG31" s="24">
        <f t="shared" si="44"/>
        <v>0</v>
      </c>
      <c r="BH31" s="24">
        <f t="shared" si="44"/>
        <v>0</v>
      </c>
      <c r="BI31" s="24">
        <f t="shared" si="44"/>
        <v>0</v>
      </c>
      <c r="BJ31" s="24">
        <f t="shared" si="44"/>
        <v>0</v>
      </c>
      <c r="BK31" s="24">
        <f t="shared" si="44"/>
        <v>0</v>
      </c>
      <c r="BL31" s="24">
        <f t="shared" si="44"/>
        <v>970659</v>
      </c>
      <c r="BM31" s="24">
        <f t="shared" si="44"/>
        <v>0</v>
      </c>
      <c r="BN31" s="24"/>
      <c r="BO31" s="24"/>
      <c r="BP31" s="24"/>
      <c r="BQ31" s="24">
        <f t="shared" si="45"/>
        <v>0</v>
      </c>
      <c r="BR31" s="25">
        <f t="shared" si="10"/>
        <v>0.98921490000000001</v>
      </c>
      <c r="BS31" s="24">
        <f t="shared" si="36"/>
        <v>89029341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+'[4]DICIEMBRE 2016'!$Y$1926</f>
        <v>89029341</v>
      </c>
      <c r="CI31" s="24"/>
      <c r="CJ31" s="24"/>
      <c r="CK31" s="24"/>
      <c r="CL31" s="24"/>
      <c r="CM31" s="24"/>
      <c r="CN31" s="25">
        <f t="shared" si="12"/>
        <v>1.0785099999999992E-2</v>
      </c>
      <c r="CO31" s="24">
        <f t="shared" si="37"/>
        <v>970659</v>
      </c>
      <c r="CP31" s="24">
        <f t="shared" si="46"/>
        <v>0</v>
      </c>
      <c r="CQ31" s="24">
        <f t="shared" si="38"/>
        <v>0</v>
      </c>
      <c r="CR31" s="24">
        <f t="shared" si="38"/>
        <v>0</v>
      </c>
      <c r="CS31" s="24">
        <f t="shared" si="38"/>
        <v>0</v>
      </c>
      <c r="CT31" s="24">
        <f t="shared" si="38"/>
        <v>0</v>
      </c>
      <c r="CU31" s="24">
        <f t="shared" si="38"/>
        <v>0</v>
      </c>
      <c r="CV31" s="24">
        <f t="shared" si="47"/>
        <v>0</v>
      </c>
      <c r="CW31" s="24">
        <f t="shared" si="47"/>
        <v>0</v>
      </c>
      <c r="CX31" s="24">
        <f t="shared" si="47"/>
        <v>0</v>
      </c>
      <c r="CY31" s="24">
        <f t="shared" si="48"/>
        <v>0</v>
      </c>
      <c r="CZ31" s="24">
        <f t="shared" si="48"/>
        <v>0</v>
      </c>
      <c r="DA31" s="24">
        <f t="shared" si="48"/>
        <v>0</v>
      </c>
      <c r="DB31" s="24">
        <f t="shared" si="49"/>
        <v>0</v>
      </c>
      <c r="DC31" s="24">
        <f t="shared" si="49"/>
        <v>970659</v>
      </c>
      <c r="DD31" s="24">
        <f t="shared" si="49"/>
        <v>0</v>
      </c>
      <c r="DE31" s="24"/>
      <c r="DF31" s="24">
        <f t="shared" si="50"/>
        <v>0</v>
      </c>
      <c r="DG31" s="24">
        <f t="shared" si="50"/>
        <v>0</v>
      </c>
      <c r="DH31" s="24">
        <f t="shared" si="50"/>
        <v>0</v>
      </c>
    </row>
    <row r="32" spans="1:112" ht="22.5" customHeight="1" x14ac:dyDescent="0.25">
      <c r="A32" s="30"/>
      <c r="B32" s="240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1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0.82352929411764708</v>
      </c>
      <c r="AB32" s="24">
        <f t="shared" si="32"/>
        <v>13999998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+'[2]DICIEMBRE 2016'!$AG$1958</f>
        <v>13999998</v>
      </c>
      <c r="AW32" s="25">
        <f t="shared" si="3"/>
        <v>0.17647070588235292</v>
      </c>
      <c r="AX32" s="24">
        <f t="shared" si="33"/>
        <v>3000002</v>
      </c>
      <c r="AY32" s="24">
        <f t="shared" si="43"/>
        <v>0</v>
      </c>
      <c r="AZ32" s="24">
        <f t="shared" si="34"/>
        <v>0</v>
      </c>
      <c r="BA32" s="24">
        <f t="shared" si="34"/>
        <v>0</v>
      </c>
      <c r="BB32" s="24">
        <f t="shared" si="44"/>
        <v>0</v>
      </c>
      <c r="BC32" s="24">
        <f t="shared" si="44"/>
        <v>0</v>
      </c>
      <c r="BD32" s="24">
        <f t="shared" si="44"/>
        <v>0</v>
      </c>
      <c r="BE32" s="24">
        <f t="shared" si="44"/>
        <v>0</v>
      </c>
      <c r="BF32" s="24">
        <f t="shared" si="44"/>
        <v>0</v>
      </c>
      <c r="BG32" s="24">
        <f t="shared" si="44"/>
        <v>0</v>
      </c>
      <c r="BH32" s="24">
        <f t="shared" si="44"/>
        <v>0</v>
      </c>
      <c r="BI32" s="24">
        <f t="shared" si="44"/>
        <v>0</v>
      </c>
      <c r="BJ32" s="24">
        <f t="shared" si="44"/>
        <v>0</v>
      </c>
      <c r="BK32" s="24"/>
      <c r="BL32" s="24">
        <f t="shared" si="44"/>
        <v>0</v>
      </c>
      <c r="BM32" s="24">
        <f t="shared" si="44"/>
        <v>0</v>
      </c>
      <c r="BN32" s="24"/>
      <c r="BO32" s="24"/>
      <c r="BP32" s="24"/>
      <c r="BQ32" s="24">
        <f t="shared" si="45"/>
        <v>3000002</v>
      </c>
      <c r="BR32" s="25">
        <f t="shared" si="10"/>
        <v>0.82352929411764708</v>
      </c>
      <c r="BS32" s="24">
        <f t="shared" si="36"/>
        <v>13999998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+'[2]DICIEMBRE 2016'!$AG$1958</f>
        <v>13999998</v>
      </c>
      <c r="CN32" s="25">
        <f t="shared" si="12"/>
        <v>0.17647070588235292</v>
      </c>
      <c r="CO32" s="24">
        <f t="shared" si="37"/>
        <v>3000002</v>
      </c>
      <c r="CP32" s="24">
        <f t="shared" si="46"/>
        <v>0</v>
      </c>
      <c r="CQ32" s="24">
        <f t="shared" si="38"/>
        <v>0</v>
      </c>
      <c r="CR32" s="24">
        <f t="shared" si="38"/>
        <v>0</v>
      </c>
      <c r="CS32" s="24">
        <f t="shared" si="38"/>
        <v>0</v>
      </c>
      <c r="CT32" s="24">
        <f t="shared" si="38"/>
        <v>0</v>
      </c>
      <c r="CU32" s="24">
        <f t="shared" si="38"/>
        <v>0</v>
      </c>
      <c r="CV32" s="24">
        <f t="shared" si="47"/>
        <v>0</v>
      </c>
      <c r="CW32" s="24">
        <f t="shared" si="47"/>
        <v>0</v>
      </c>
      <c r="CX32" s="24">
        <f t="shared" si="47"/>
        <v>0</v>
      </c>
      <c r="CY32" s="24">
        <f t="shared" si="48"/>
        <v>0</v>
      </c>
      <c r="CZ32" s="24">
        <f t="shared" si="48"/>
        <v>0</v>
      </c>
      <c r="DA32" s="24">
        <f t="shared" si="48"/>
        <v>0</v>
      </c>
      <c r="DB32" s="24">
        <f t="shared" si="48"/>
        <v>0</v>
      </c>
      <c r="DC32" s="24">
        <f t="shared" si="48"/>
        <v>0</v>
      </c>
      <c r="DD32" s="24">
        <f t="shared" si="48"/>
        <v>0</v>
      </c>
      <c r="DE32" s="24"/>
      <c r="DF32" s="24">
        <f t="shared" ref="DF32:DH47" si="51">X32-CK32</f>
        <v>0</v>
      </c>
      <c r="DG32" s="24">
        <f t="shared" si="51"/>
        <v>0</v>
      </c>
      <c r="DH32" s="24">
        <f t="shared" si="51"/>
        <v>3000002</v>
      </c>
    </row>
    <row r="33" spans="1:112" ht="33.75" customHeight="1" x14ac:dyDescent="0.25">
      <c r="A33" s="30"/>
      <c r="B33" s="240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1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0.68442400000000003</v>
      </c>
      <c r="AB33" s="24">
        <f t="shared" si="32"/>
        <v>6844240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+'[2]DICIEMBRE 2016'!$AG$1976</f>
        <v>6844240</v>
      </c>
      <c r="AW33" s="25">
        <f t="shared" si="3"/>
        <v>0.31557599999999997</v>
      </c>
      <c r="AX33" s="24">
        <f t="shared" si="33"/>
        <v>3155760</v>
      </c>
      <c r="AY33" s="24">
        <f t="shared" si="43"/>
        <v>0</v>
      </c>
      <c r="AZ33" s="24">
        <f t="shared" si="34"/>
        <v>0</v>
      </c>
      <c r="BA33" s="24">
        <f t="shared" si="34"/>
        <v>0</v>
      </c>
      <c r="BB33" s="24">
        <f t="shared" si="44"/>
        <v>0</v>
      </c>
      <c r="BC33" s="24">
        <f t="shared" si="44"/>
        <v>0</v>
      </c>
      <c r="BD33" s="24">
        <f t="shared" si="44"/>
        <v>0</v>
      </c>
      <c r="BE33" s="24">
        <f t="shared" si="44"/>
        <v>0</v>
      </c>
      <c r="BF33" s="24">
        <f t="shared" si="44"/>
        <v>0</v>
      </c>
      <c r="BG33" s="24">
        <f t="shared" si="44"/>
        <v>0</v>
      </c>
      <c r="BH33" s="24">
        <f t="shared" si="44"/>
        <v>0</v>
      </c>
      <c r="BI33" s="24">
        <f t="shared" si="44"/>
        <v>0</v>
      </c>
      <c r="BJ33" s="24">
        <f t="shared" si="44"/>
        <v>0</v>
      </c>
      <c r="BK33" s="24"/>
      <c r="BL33" s="24">
        <f t="shared" si="44"/>
        <v>0</v>
      </c>
      <c r="BM33" s="24">
        <f t="shared" si="44"/>
        <v>0</v>
      </c>
      <c r="BN33" s="24"/>
      <c r="BO33" s="24"/>
      <c r="BP33" s="24"/>
      <c r="BQ33" s="24">
        <f t="shared" si="45"/>
        <v>3155760</v>
      </c>
      <c r="BR33" s="25">
        <f t="shared" si="10"/>
        <v>0.68442400000000003</v>
      </c>
      <c r="BS33" s="24">
        <f t="shared" si="36"/>
        <v>6844240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+'[2]DICIEMBRE 2016'!$H$1974</f>
        <v>6844240</v>
      </c>
      <c r="CN33" s="25">
        <f t="shared" si="12"/>
        <v>0.31557599999999997</v>
      </c>
      <c r="CO33" s="24">
        <f t="shared" si="37"/>
        <v>3155760</v>
      </c>
      <c r="CP33" s="24">
        <f t="shared" si="46"/>
        <v>0</v>
      </c>
      <c r="CQ33" s="24">
        <f t="shared" si="38"/>
        <v>0</v>
      </c>
      <c r="CR33" s="24">
        <f t="shared" si="38"/>
        <v>0</v>
      </c>
      <c r="CS33" s="24">
        <f t="shared" si="38"/>
        <v>0</v>
      </c>
      <c r="CT33" s="24">
        <f t="shared" si="38"/>
        <v>0</v>
      </c>
      <c r="CU33" s="24">
        <f t="shared" si="38"/>
        <v>0</v>
      </c>
      <c r="CV33" s="24">
        <f t="shared" si="47"/>
        <v>0</v>
      </c>
      <c r="CW33" s="24">
        <f t="shared" si="47"/>
        <v>0</v>
      </c>
      <c r="CX33" s="24">
        <f t="shared" si="47"/>
        <v>0</v>
      </c>
      <c r="CY33" s="24">
        <f t="shared" si="48"/>
        <v>0</v>
      </c>
      <c r="CZ33" s="24">
        <f t="shared" si="48"/>
        <v>0</v>
      </c>
      <c r="DA33" s="24">
        <f t="shared" si="48"/>
        <v>0</v>
      </c>
      <c r="DB33" s="24">
        <f t="shared" si="48"/>
        <v>0</v>
      </c>
      <c r="DC33" s="24">
        <f t="shared" si="48"/>
        <v>0</v>
      </c>
      <c r="DD33" s="24">
        <f t="shared" si="48"/>
        <v>0</v>
      </c>
      <c r="DE33" s="24"/>
      <c r="DF33" s="24">
        <f t="shared" si="51"/>
        <v>0</v>
      </c>
      <c r="DG33" s="24">
        <f t="shared" si="51"/>
        <v>0</v>
      </c>
      <c r="DH33" s="24">
        <f t="shared" si="51"/>
        <v>3155760</v>
      </c>
    </row>
    <row r="34" spans="1:112" ht="39.75" customHeight="1" x14ac:dyDescent="0.25">
      <c r="A34" s="30"/>
      <c r="B34" s="241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1"/>
        <v>211970259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11169156+40126227+17787916+32886960</f>
        <v>101970259</v>
      </c>
      <c r="X34" s="24"/>
      <c r="Y34" s="24"/>
      <c r="Z34" s="24"/>
      <c r="AA34" s="25">
        <f t="shared" si="1"/>
        <v>0.88689944941757137</v>
      </c>
      <c r="AB34" s="24">
        <f t="shared" si="32"/>
        <v>187996306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+'[2]DICIEMBRE 2016'!$Y$1989</f>
        <v>102694205</v>
      </c>
      <c r="AR34" s="24"/>
      <c r="AS34" s="24">
        <f>+'[4]DICIEMBRE 2016'!$AA$1986</f>
        <v>85302101</v>
      </c>
      <c r="AT34" s="24"/>
      <c r="AU34" s="24"/>
      <c r="AV34" s="24"/>
      <c r="AW34" s="25">
        <f t="shared" si="3"/>
        <v>0.11310055058242863</v>
      </c>
      <c r="AX34" s="24">
        <f t="shared" si="33"/>
        <v>23973953</v>
      </c>
      <c r="AY34" s="24">
        <f t="shared" si="43"/>
        <v>0</v>
      </c>
      <c r="AZ34" s="24">
        <f t="shared" si="34"/>
        <v>0</v>
      </c>
      <c r="BA34" s="24">
        <f t="shared" si="34"/>
        <v>0</v>
      </c>
      <c r="BB34" s="24">
        <f t="shared" si="44"/>
        <v>0</v>
      </c>
      <c r="BC34" s="24">
        <f t="shared" si="44"/>
        <v>0</v>
      </c>
      <c r="BD34" s="24">
        <f t="shared" si="44"/>
        <v>0</v>
      </c>
      <c r="BE34" s="24">
        <f t="shared" si="44"/>
        <v>0</v>
      </c>
      <c r="BF34" s="24">
        <f t="shared" si="44"/>
        <v>0</v>
      </c>
      <c r="BG34" s="24">
        <f t="shared" si="44"/>
        <v>0</v>
      </c>
      <c r="BH34" s="24">
        <f t="shared" si="44"/>
        <v>0</v>
      </c>
      <c r="BI34" s="24">
        <f t="shared" si="44"/>
        <v>0</v>
      </c>
      <c r="BJ34" s="24">
        <f t="shared" si="44"/>
        <v>0</v>
      </c>
      <c r="BK34" s="24"/>
      <c r="BL34" s="24">
        <f t="shared" si="44"/>
        <v>7305795</v>
      </c>
      <c r="BM34" s="24">
        <f t="shared" si="44"/>
        <v>0</v>
      </c>
      <c r="BN34" s="24">
        <f>+W34-AS34</f>
        <v>16668158</v>
      </c>
      <c r="BO34" s="24"/>
      <c r="BP34" s="24"/>
      <c r="BQ34" s="24">
        <f t="shared" si="45"/>
        <v>0</v>
      </c>
      <c r="BR34" s="25">
        <f t="shared" si="10"/>
        <v>0.88689944941757137</v>
      </c>
      <c r="BS34" s="24">
        <f t="shared" si="36"/>
        <v>187996306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+'[2]DICIEMBRE 2016'!$H$1990+'[2]DICIEMBRE 2016'!$H$2007+'[2]DICIEMBRE 2016'!$H$2021</f>
        <v>102694205</v>
      </c>
      <c r="CI34" s="24"/>
      <c r="CJ34" s="24">
        <f>+'[2]DICIEMBRE 2016'!$H$2026+'[2]DICIEMBRE 2016'!$H$2032+'[2]DICIEMBRE 2016'!$H$2041+'[2]DICIEMBRE 2016'!$H$2046</f>
        <v>85302101</v>
      </c>
      <c r="CK34" s="24"/>
      <c r="CL34" s="24"/>
      <c r="CM34" s="24"/>
      <c r="CN34" s="25">
        <f t="shared" si="12"/>
        <v>0.11310055058242863</v>
      </c>
      <c r="CO34" s="24">
        <f t="shared" si="37"/>
        <v>23973953</v>
      </c>
      <c r="CP34" s="24">
        <f t="shared" si="46"/>
        <v>0</v>
      </c>
      <c r="CQ34" s="24">
        <f t="shared" si="38"/>
        <v>0</v>
      </c>
      <c r="CR34" s="24">
        <f t="shared" si="38"/>
        <v>0</v>
      </c>
      <c r="CS34" s="24">
        <f t="shared" si="38"/>
        <v>0</v>
      </c>
      <c r="CT34" s="24">
        <f t="shared" si="38"/>
        <v>0</v>
      </c>
      <c r="CU34" s="24">
        <f t="shared" si="38"/>
        <v>0</v>
      </c>
      <c r="CV34" s="24">
        <f t="shared" si="47"/>
        <v>0</v>
      </c>
      <c r="CW34" s="24">
        <f t="shared" si="47"/>
        <v>0</v>
      </c>
      <c r="CX34" s="24">
        <f t="shared" si="47"/>
        <v>0</v>
      </c>
      <c r="CY34" s="24">
        <f t="shared" si="48"/>
        <v>0</v>
      </c>
      <c r="CZ34" s="24">
        <f t="shared" si="48"/>
        <v>0</v>
      </c>
      <c r="DA34" s="24">
        <f t="shared" si="48"/>
        <v>0</v>
      </c>
      <c r="DB34" s="24">
        <f t="shared" si="48"/>
        <v>0</v>
      </c>
      <c r="DC34" s="24">
        <f t="shared" si="48"/>
        <v>7305795</v>
      </c>
      <c r="DD34" s="24">
        <f t="shared" si="48"/>
        <v>0</v>
      </c>
      <c r="DE34" s="24">
        <f>W34-CJ34</f>
        <v>16668158</v>
      </c>
      <c r="DF34" s="24">
        <f t="shared" si="51"/>
        <v>0</v>
      </c>
      <c r="DG34" s="24">
        <f t="shared" si="51"/>
        <v>0</v>
      </c>
      <c r="DH34" s="24">
        <f t="shared" si="51"/>
        <v>0</v>
      </c>
    </row>
    <row r="35" spans="1:112" ht="30" x14ac:dyDescent="0.25">
      <c r="A35" s="246" t="s">
        <v>87</v>
      </c>
      <c r="B35" s="239" t="s">
        <v>123</v>
      </c>
      <c r="C35" s="20" t="s">
        <v>124</v>
      </c>
      <c r="D35" s="21" t="s">
        <v>125</v>
      </c>
      <c r="E35" s="64">
        <v>410</v>
      </c>
      <c r="F35" s="23" t="s">
        <v>91</v>
      </c>
      <c r="G35" s="24">
        <f t="shared" si="31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0.95990130909090909</v>
      </c>
      <c r="AB35" s="24">
        <f t="shared" si="32"/>
        <v>52794572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+'[4]DICIEMBRE 2016'!$Y$2051</f>
        <v>52794572</v>
      </c>
      <c r="AR35" s="24"/>
      <c r="AS35" s="24"/>
      <c r="AT35" s="24"/>
      <c r="AU35" s="24"/>
      <c r="AV35" s="24"/>
      <c r="AW35" s="25">
        <f t="shared" si="3"/>
        <v>4.0098690909090906E-2</v>
      </c>
      <c r="AX35" s="24">
        <f t="shared" si="33"/>
        <v>2205428</v>
      </c>
      <c r="AY35" s="24">
        <f t="shared" si="43"/>
        <v>0</v>
      </c>
      <c r="AZ35" s="24">
        <f t="shared" si="34"/>
        <v>0</v>
      </c>
      <c r="BA35" s="24">
        <f t="shared" si="34"/>
        <v>0</v>
      </c>
      <c r="BB35" s="24">
        <f t="shared" si="44"/>
        <v>0</v>
      </c>
      <c r="BC35" s="24">
        <f t="shared" si="44"/>
        <v>0</v>
      </c>
      <c r="BD35" s="24">
        <f t="shared" si="44"/>
        <v>0</v>
      </c>
      <c r="BE35" s="24">
        <f t="shared" si="44"/>
        <v>0</v>
      </c>
      <c r="BF35" s="24">
        <f t="shared" si="44"/>
        <v>0</v>
      </c>
      <c r="BG35" s="24">
        <f t="shared" si="44"/>
        <v>0</v>
      </c>
      <c r="BH35" s="24">
        <f t="shared" si="44"/>
        <v>0</v>
      </c>
      <c r="BI35" s="24">
        <f t="shared" si="44"/>
        <v>0</v>
      </c>
      <c r="BJ35" s="24">
        <f t="shared" si="44"/>
        <v>0</v>
      </c>
      <c r="BK35" s="24">
        <f>+T35-AP35</f>
        <v>0</v>
      </c>
      <c r="BL35" s="24">
        <f t="shared" si="44"/>
        <v>2205428</v>
      </c>
      <c r="BM35" s="24">
        <f t="shared" si="44"/>
        <v>0</v>
      </c>
      <c r="BN35" s="24"/>
      <c r="BO35" s="24"/>
      <c r="BP35" s="24"/>
      <c r="BQ35" s="24">
        <f t="shared" si="45"/>
        <v>0</v>
      </c>
      <c r="BR35" s="25">
        <f t="shared" si="10"/>
        <v>0.95990130909090909</v>
      </c>
      <c r="BS35" s="24">
        <f t="shared" si="36"/>
        <v>52794572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+'[4]DICIEMBRE 2016'!$Y$2051</f>
        <v>52794572</v>
      </c>
      <c r="CI35" s="24"/>
      <c r="CJ35" s="24"/>
      <c r="CK35" s="24"/>
      <c r="CL35" s="24"/>
      <c r="CM35" s="24"/>
      <c r="CN35" s="25">
        <f t="shared" si="12"/>
        <v>4.0098690909090906E-2</v>
      </c>
      <c r="CO35" s="24">
        <f t="shared" si="37"/>
        <v>2205428</v>
      </c>
      <c r="CP35" s="24">
        <f t="shared" si="46"/>
        <v>0</v>
      </c>
      <c r="CQ35" s="24">
        <f t="shared" si="38"/>
        <v>0</v>
      </c>
      <c r="CR35" s="24">
        <f t="shared" si="38"/>
        <v>0</v>
      </c>
      <c r="CS35" s="24">
        <f t="shared" si="38"/>
        <v>0</v>
      </c>
      <c r="CT35" s="24">
        <f t="shared" si="38"/>
        <v>0</v>
      </c>
      <c r="CU35" s="24">
        <f t="shared" si="38"/>
        <v>0</v>
      </c>
      <c r="CV35" s="24">
        <f t="shared" si="47"/>
        <v>0</v>
      </c>
      <c r="CW35" s="24">
        <f t="shared" si="47"/>
        <v>0</v>
      </c>
      <c r="CX35" s="24">
        <f t="shared" si="47"/>
        <v>0</v>
      </c>
      <c r="CY35" s="24">
        <f t="shared" si="48"/>
        <v>0</v>
      </c>
      <c r="CZ35" s="24">
        <f t="shared" si="48"/>
        <v>0</v>
      </c>
      <c r="DA35" s="24">
        <f t="shared" si="48"/>
        <v>0</v>
      </c>
      <c r="DB35" s="24">
        <f t="shared" ref="DB35:DD37" si="52">+T35-CG35</f>
        <v>0</v>
      </c>
      <c r="DC35" s="24">
        <f t="shared" si="52"/>
        <v>2205428</v>
      </c>
      <c r="DD35" s="24">
        <f t="shared" si="52"/>
        <v>0</v>
      </c>
      <c r="DE35" s="24"/>
      <c r="DF35" s="24">
        <f>+X35-CK35</f>
        <v>0</v>
      </c>
      <c r="DG35" s="24">
        <f t="shared" si="51"/>
        <v>0</v>
      </c>
      <c r="DH35" s="24">
        <f>+Z35-CM35</f>
        <v>0</v>
      </c>
    </row>
    <row r="36" spans="1:112" ht="31.5" customHeight="1" x14ac:dyDescent="0.25">
      <c r="A36" s="246"/>
      <c r="B36" s="240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1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0.9867871509433962</v>
      </c>
      <c r="AB36" s="24">
        <f t="shared" si="32"/>
        <v>52299719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+'[4]DICIEMBRE 2016'!$Y$2119</f>
        <v>49999719</v>
      </c>
      <c r="AR36" s="24"/>
      <c r="AS36" s="24"/>
      <c r="AT36" s="24"/>
      <c r="AU36" s="24"/>
      <c r="AV36" s="24">
        <f>+'[2]DICIEMBRE 2016'!$AG$2122</f>
        <v>2300000</v>
      </c>
      <c r="AW36" s="25">
        <f t="shared" si="3"/>
        <v>1.3212849056603804E-2</v>
      </c>
      <c r="AX36" s="24">
        <f t="shared" si="33"/>
        <v>700281</v>
      </c>
      <c r="AY36" s="24">
        <f t="shared" si="43"/>
        <v>0</v>
      </c>
      <c r="AZ36" s="24">
        <f t="shared" si="34"/>
        <v>0</v>
      </c>
      <c r="BA36" s="24">
        <f t="shared" si="34"/>
        <v>0</v>
      </c>
      <c r="BB36" s="24">
        <f t="shared" si="44"/>
        <v>0</v>
      </c>
      <c r="BC36" s="24">
        <f t="shared" si="44"/>
        <v>0</v>
      </c>
      <c r="BD36" s="24">
        <f t="shared" si="44"/>
        <v>0</v>
      </c>
      <c r="BE36" s="24">
        <f t="shared" si="44"/>
        <v>0</v>
      </c>
      <c r="BF36" s="24">
        <f t="shared" si="44"/>
        <v>0</v>
      </c>
      <c r="BG36" s="24">
        <f t="shared" si="44"/>
        <v>0</v>
      </c>
      <c r="BH36" s="24">
        <f t="shared" si="44"/>
        <v>0</v>
      </c>
      <c r="BI36" s="24">
        <f t="shared" si="44"/>
        <v>0</v>
      </c>
      <c r="BJ36" s="24">
        <f t="shared" si="44"/>
        <v>0</v>
      </c>
      <c r="BK36" s="24">
        <f>+T36-AP36</f>
        <v>0</v>
      </c>
      <c r="BL36" s="24">
        <f t="shared" si="44"/>
        <v>281</v>
      </c>
      <c r="BM36" s="24">
        <f t="shared" si="44"/>
        <v>0</v>
      </c>
      <c r="BN36" s="24"/>
      <c r="BO36" s="24"/>
      <c r="BP36" s="24"/>
      <c r="BQ36" s="24">
        <f t="shared" si="45"/>
        <v>700000</v>
      </c>
      <c r="BR36" s="25">
        <f t="shared" si="10"/>
        <v>0.9867871509433962</v>
      </c>
      <c r="BS36" s="24">
        <f t="shared" si="36"/>
        <v>52299719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+'[4]DICIEMBRE 2016'!$Y$2119</f>
        <v>49999719</v>
      </c>
      <c r="CI36" s="24"/>
      <c r="CJ36" s="24"/>
      <c r="CK36" s="24"/>
      <c r="CL36" s="24"/>
      <c r="CM36" s="24">
        <f>+'[2]DICIEMBRE 2016'!$AG$2122</f>
        <v>2300000</v>
      </c>
      <c r="CN36" s="25">
        <f t="shared" si="12"/>
        <v>1.3212849056603804E-2</v>
      </c>
      <c r="CO36" s="24">
        <f t="shared" si="37"/>
        <v>700281</v>
      </c>
      <c r="CP36" s="24">
        <f t="shared" si="46"/>
        <v>0</v>
      </c>
      <c r="CQ36" s="24">
        <f t="shared" si="38"/>
        <v>0</v>
      </c>
      <c r="CR36" s="24">
        <f t="shared" si="38"/>
        <v>0</v>
      </c>
      <c r="CS36" s="24">
        <f t="shared" si="38"/>
        <v>0</v>
      </c>
      <c r="CT36" s="24">
        <f t="shared" si="38"/>
        <v>0</v>
      </c>
      <c r="CU36" s="24">
        <f t="shared" si="38"/>
        <v>0</v>
      </c>
      <c r="CV36" s="24">
        <f t="shared" si="47"/>
        <v>0</v>
      </c>
      <c r="CW36" s="24">
        <f t="shared" si="47"/>
        <v>0</v>
      </c>
      <c r="CX36" s="24">
        <f t="shared" si="47"/>
        <v>0</v>
      </c>
      <c r="CY36" s="24">
        <f t="shared" si="48"/>
        <v>0</v>
      </c>
      <c r="CZ36" s="24">
        <f t="shared" si="48"/>
        <v>0</v>
      </c>
      <c r="DA36" s="24">
        <f t="shared" si="48"/>
        <v>0</v>
      </c>
      <c r="DB36" s="24">
        <f t="shared" si="52"/>
        <v>0</v>
      </c>
      <c r="DC36" s="24">
        <f t="shared" si="52"/>
        <v>281</v>
      </c>
      <c r="DD36" s="24">
        <f t="shared" si="52"/>
        <v>0</v>
      </c>
      <c r="DE36" s="24"/>
      <c r="DF36" s="24">
        <f>+X36-CK36</f>
        <v>0</v>
      </c>
      <c r="DG36" s="24">
        <f t="shared" si="51"/>
        <v>0</v>
      </c>
      <c r="DH36" s="24">
        <f>+Z36-CM36</f>
        <v>700000</v>
      </c>
    </row>
    <row r="37" spans="1:112" ht="18" customHeight="1" x14ac:dyDescent="0.25">
      <c r="A37" s="246"/>
      <c r="B37" s="240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1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0.8322222222222222</v>
      </c>
      <c r="AB37" s="24">
        <f t="shared" si="32"/>
        <v>28956340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+'[2]DICIEMBRE 2016'!$Y$2200</f>
        <v>28956340</v>
      </c>
      <c r="AR37" s="24"/>
      <c r="AS37" s="24"/>
      <c r="AT37" s="24"/>
      <c r="AU37" s="24"/>
      <c r="AV37" s="24"/>
      <c r="AW37" s="25">
        <f t="shared" si="3"/>
        <v>0.1677777777777778</v>
      </c>
      <c r="AX37" s="24">
        <f t="shared" si="33"/>
        <v>5837660</v>
      </c>
      <c r="AY37" s="24">
        <f t="shared" si="43"/>
        <v>0</v>
      </c>
      <c r="AZ37" s="24">
        <f t="shared" si="43"/>
        <v>0</v>
      </c>
      <c r="BA37" s="24">
        <f t="shared" si="43"/>
        <v>0</v>
      </c>
      <c r="BB37" s="24">
        <f t="shared" si="44"/>
        <v>0</v>
      </c>
      <c r="BC37" s="24">
        <f t="shared" si="44"/>
        <v>0</v>
      </c>
      <c r="BD37" s="24">
        <f t="shared" si="44"/>
        <v>0</v>
      </c>
      <c r="BE37" s="24">
        <f t="shared" si="44"/>
        <v>0</v>
      </c>
      <c r="BF37" s="24">
        <f t="shared" si="44"/>
        <v>0</v>
      </c>
      <c r="BG37" s="24">
        <f t="shared" si="44"/>
        <v>0</v>
      </c>
      <c r="BH37" s="24">
        <f t="shared" si="44"/>
        <v>0</v>
      </c>
      <c r="BI37" s="24">
        <f t="shared" si="44"/>
        <v>0</v>
      </c>
      <c r="BJ37" s="24">
        <f t="shared" si="44"/>
        <v>0</v>
      </c>
      <c r="BK37" s="24">
        <f>+T37-AP37</f>
        <v>0</v>
      </c>
      <c r="BL37" s="24">
        <f t="shared" si="44"/>
        <v>5837660</v>
      </c>
      <c r="BM37" s="24">
        <f t="shared" si="44"/>
        <v>0</v>
      </c>
      <c r="BN37" s="24"/>
      <c r="BO37" s="24"/>
      <c r="BP37" s="24"/>
      <c r="BQ37" s="24">
        <f t="shared" si="45"/>
        <v>0</v>
      </c>
      <c r="BR37" s="25">
        <f t="shared" si="10"/>
        <v>0.8322222222222222</v>
      </c>
      <c r="BS37" s="24">
        <f t="shared" si="36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+'[10]SEPTIEMBRE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37"/>
        <v>5837660</v>
      </c>
      <c r="CP37" s="24">
        <f t="shared" si="46"/>
        <v>0</v>
      </c>
      <c r="CQ37" s="24">
        <f t="shared" si="46"/>
        <v>0</v>
      </c>
      <c r="CR37" s="24">
        <f t="shared" si="46"/>
        <v>0</v>
      </c>
      <c r="CS37" s="24">
        <f t="shared" si="46"/>
        <v>0</v>
      </c>
      <c r="CT37" s="24">
        <f t="shared" si="46"/>
        <v>0</v>
      </c>
      <c r="CU37" s="24">
        <f t="shared" si="46"/>
        <v>0</v>
      </c>
      <c r="CV37" s="24">
        <f t="shared" si="47"/>
        <v>0</v>
      </c>
      <c r="CW37" s="24">
        <f t="shared" si="47"/>
        <v>0</v>
      </c>
      <c r="CX37" s="24">
        <f t="shared" si="47"/>
        <v>0</v>
      </c>
      <c r="CY37" s="24">
        <f t="shared" si="48"/>
        <v>0</v>
      </c>
      <c r="CZ37" s="24">
        <f t="shared" si="48"/>
        <v>0</v>
      </c>
      <c r="DA37" s="24">
        <f t="shared" si="48"/>
        <v>0</v>
      </c>
      <c r="DB37" s="24">
        <f t="shared" si="52"/>
        <v>0</v>
      </c>
      <c r="DC37" s="24">
        <f t="shared" si="52"/>
        <v>5837660</v>
      </c>
      <c r="DD37" s="24">
        <f t="shared" si="52"/>
        <v>0</v>
      </c>
      <c r="DE37" s="24"/>
      <c r="DF37" s="24">
        <f>+X37-CK37</f>
        <v>0</v>
      </c>
      <c r="DG37" s="24">
        <f t="shared" si="51"/>
        <v>0</v>
      </c>
      <c r="DH37" s="24">
        <f>+Z37-CM37</f>
        <v>0</v>
      </c>
    </row>
    <row r="38" spans="1:112" x14ac:dyDescent="0.25">
      <c r="A38" s="246"/>
      <c r="B38" s="241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1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2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+'[11]JUNIO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3"/>
        <v>0</v>
      </c>
      <c r="AY38" s="24">
        <f t="shared" si="43"/>
        <v>0</v>
      </c>
      <c r="AZ38" s="24">
        <f t="shared" si="43"/>
        <v>0</v>
      </c>
      <c r="BA38" s="24">
        <f t="shared" si="43"/>
        <v>0</v>
      </c>
      <c r="BB38" s="24">
        <f t="shared" si="43"/>
        <v>0</v>
      </c>
      <c r="BC38" s="24">
        <f t="shared" si="43"/>
        <v>0</v>
      </c>
      <c r="BD38" s="24">
        <f t="shared" si="43"/>
        <v>0</v>
      </c>
      <c r="BE38" s="24">
        <f t="shared" si="43"/>
        <v>0</v>
      </c>
      <c r="BF38" s="24">
        <f t="shared" si="43"/>
        <v>0</v>
      </c>
      <c r="BG38" s="24">
        <f t="shared" si="43"/>
        <v>0</v>
      </c>
      <c r="BH38" s="24">
        <f t="shared" si="43"/>
        <v>0</v>
      </c>
      <c r="BI38" s="24">
        <f t="shared" si="43"/>
        <v>0</v>
      </c>
      <c r="BJ38" s="24">
        <f t="shared" si="43"/>
        <v>0</v>
      </c>
      <c r="BK38" s="24">
        <f t="shared" si="43"/>
        <v>0</v>
      </c>
      <c r="BL38" s="24">
        <f t="shared" si="43"/>
        <v>0</v>
      </c>
      <c r="BM38" s="24">
        <f t="shared" si="43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6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+'[11]JUNIO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37"/>
        <v>0</v>
      </c>
      <c r="CP38" s="24">
        <f t="shared" si="46"/>
        <v>0</v>
      </c>
      <c r="CQ38" s="24">
        <f t="shared" si="46"/>
        <v>0</v>
      </c>
      <c r="CR38" s="24">
        <f t="shared" si="46"/>
        <v>0</v>
      </c>
      <c r="CS38" s="24">
        <f t="shared" si="46"/>
        <v>0</v>
      </c>
      <c r="CT38" s="24">
        <f t="shared" si="46"/>
        <v>0</v>
      </c>
      <c r="CU38" s="24">
        <f t="shared" si="46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48"/>
        <v>0</v>
      </c>
      <c r="CZ38" s="24">
        <f t="shared" si="48"/>
        <v>0</v>
      </c>
      <c r="DA38" s="24">
        <f t="shared" si="48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1"/>
        <v>0</v>
      </c>
      <c r="DH38" s="24">
        <f>Z38-CM38</f>
        <v>0</v>
      </c>
    </row>
    <row r="39" spans="1:112" ht="33.75" customHeight="1" x14ac:dyDescent="0.25">
      <c r="A39" s="246"/>
      <c r="B39" s="239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1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0.99391327857142853</v>
      </c>
      <c r="AB39" s="24">
        <f t="shared" si="32"/>
        <v>278295718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+'[4]DICIEMBRE 2016'!$W$2234</f>
        <v>278295718</v>
      </c>
      <c r="AP39" s="24"/>
      <c r="AQ39" s="24"/>
      <c r="AR39" s="24"/>
      <c r="AS39" s="24"/>
      <c r="AT39" s="24"/>
      <c r="AU39" s="24"/>
      <c r="AV39" s="24"/>
      <c r="AW39" s="25">
        <f t="shared" si="3"/>
        <v>6.0867214285714732E-3</v>
      </c>
      <c r="AX39" s="24">
        <f t="shared" si="33"/>
        <v>1704282</v>
      </c>
      <c r="AY39" s="24">
        <f t="shared" si="43"/>
        <v>0</v>
      </c>
      <c r="AZ39" s="24">
        <f t="shared" si="43"/>
        <v>0</v>
      </c>
      <c r="BA39" s="24">
        <f t="shared" si="43"/>
        <v>0</v>
      </c>
      <c r="BB39" s="24">
        <f t="shared" ref="BB39:BM54" si="53">+K39-AG39</f>
        <v>0</v>
      </c>
      <c r="BC39" s="24">
        <f t="shared" si="53"/>
        <v>0</v>
      </c>
      <c r="BD39" s="24">
        <f t="shared" si="53"/>
        <v>0</v>
      </c>
      <c r="BE39" s="24">
        <f t="shared" si="53"/>
        <v>0</v>
      </c>
      <c r="BF39" s="24">
        <f t="shared" si="53"/>
        <v>0</v>
      </c>
      <c r="BG39" s="24">
        <f t="shared" si="53"/>
        <v>0</v>
      </c>
      <c r="BH39" s="24">
        <f t="shared" si="53"/>
        <v>0</v>
      </c>
      <c r="BI39" s="24">
        <f t="shared" si="53"/>
        <v>0</v>
      </c>
      <c r="BJ39" s="24">
        <f t="shared" si="53"/>
        <v>1704282</v>
      </c>
      <c r="BK39" s="24">
        <f t="shared" si="53"/>
        <v>0</v>
      </c>
      <c r="BL39" s="24">
        <f t="shared" si="53"/>
        <v>0</v>
      </c>
      <c r="BM39" s="24">
        <f t="shared" si="53"/>
        <v>0</v>
      </c>
      <c r="BN39" s="24"/>
      <c r="BO39" s="24"/>
      <c r="BP39" s="24">
        <f t="shared" ref="BP39:BP59" si="54">Y39-AU39</f>
        <v>0</v>
      </c>
      <c r="BQ39" s="24">
        <f t="shared" ref="BQ39:BQ59" si="55">+Z39-AV39</f>
        <v>0</v>
      </c>
      <c r="BR39" s="25">
        <f t="shared" si="10"/>
        <v>0.99391327857142853</v>
      </c>
      <c r="BS39" s="24">
        <f t="shared" si="36"/>
        <v>278295718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+'[4]DICIEMBRE 2016'!$W$2234</f>
        <v>278295718</v>
      </c>
      <c r="CG39" s="24"/>
      <c r="CH39" s="24"/>
      <c r="CI39" s="24"/>
      <c r="CJ39" s="24"/>
      <c r="CK39" s="24"/>
      <c r="CL39" s="24"/>
      <c r="CM39" s="24"/>
      <c r="CN39" s="25">
        <f t="shared" si="12"/>
        <v>6.0867214285714732E-3</v>
      </c>
      <c r="CO39" s="24">
        <f t="shared" si="37"/>
        <v>1704282</v>
      </c>
      <c r="CP39" s="24">
        <f t="shared" si="46"/>
        <v>0</v>
      </c>
      <c r="CQ39" s="24">
        <f t="shared" si="46"/>
        <v>0</v>
      </c>
      <c r="CR39" s="24">
        <f t="shared" si="46"/>
        <v>0</v>
      </c>
      <c r="CS39" s="24">
        <f t="shared" si="46"/>
        <v>0</v>
      </c>
      <c r="CT39" s="24">
        <f t="shared" si="46"/>
        <v>0</v>
      </c>
      <c r="CU39" s="24">
        <f t="shared" si="46"/>
        <v>0</v>
      </c>
      <c r="CV39" s="24">
        <f t="shared" ref="CV39:DA50" si="56">+N39-CA39</f>
        <v>0</v>
      </c>
      <c r="CW39" s="24">
        <f t="shared" si="56"/>
        <v>0</v>
      </c>
      <c r="CX39" s="24">
        <f t="shared" si="56"/>
        <v>0</v>
      </c>
      <c r="CY39" s="24">
        <f t="shared" si="48"/>
        <v>0</v>
      </c>
      <c r="CZ39" s="24">
        <f t="shared" si="48"/>
        <v>0</v>
      </c>
      <c r="DA39" s="24">
        <f t="shared" si="48"/>
        <v>1704282</v>
      </c>
      <c r="DB39" s="24">
        <f t="shared" ref="DB39:DD50" si="57">+T39-CG39</f>
        <v>0</v>
      </c>
      <c r="DC39" s="24">
        <f t="shared" si="57"/>
        <v>0</v>
      </c>
      <c r="DD39" s="24">
        <f t="shared" si="57"/>
        <v>0</v>
      </c>
      <c r="DE39" s="24"/>
      <c r="DF39" s="24">
        <f t="shared" ref="DF39:DF50" si="58">+X39-CK39</f>
        <v>0</v>
      </c>
      <c r="DG39" s="24">
        <f t="shared" si="51"/>
        <v>0</v>
      </c>
      <c r="DH39" s="24">
        <f t="shared" ref="DH39:DH50" si="59">+Z39-CM39</f>
        <v>0</v>
      </c>
    </row>
    <row r="40" spans="1:112" ht="42" customHeight="1" x14ac:dyDescent="0.25">
      <c r="A40" s="246"/>
      <c r="B40" s="240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1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0.88728569207025232</v>
      </c>
      <c r="AB40" s="24">
        <f t="shared" si="32"/>
        <v>158493357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+'[11]JUNIO 2016'!$W$1028</f>
        <v>7654735</v>
      </c>
      <c r="AP40" s="24"/>
      <c r="AQ40" s="24">
        <f>+'[4]DICIEMBRE 2016'!$Y$2387</f>
        <v>128485707</v>
      </c>
      <c r="AR40" s="24"/>
      <c r="AS40" s="24"/>
      <c r="AT40" s="24"/>
      <c r="AU40" s="24"/>
      <c r="AV40" s="24">
        <f>+'[4]DICIEMBRE 2016'!$AG$2387</f>
        <v>22352915</v>
      </c>
      <c r="AW40" s="25">
        <f t="shared" si="3"/>
        <v>0.11271430792974768</v>
      </c>
      <c r="AX40" s="24">
        <f t="shared" si="33"/>
        <v>20133841</v>
      </c>
      <c r="AY40" s="24">
        <f t="shared" si="43"/>
        <v>0</v>
      </c>
      <c r="AZ40" s="24">
        <f t="shared" si="43"/>
        <v>0</v>
      </c>
      <c r="BA40" s="24">
        <f t="shared" si="43"/>
        <v>0</v>
      </c>
      <c r="BB40" s="24">
        <f t="shared" si="53"/>
        <v>0</v>
      </c>
      <c r="BC40" s="24">
        <f t="shared" si="53"/>
        <v>0</v>
      </c>
      <c r="BD40" s="24">
        <f t="shared" si="53"/>
        <v>0</v>
      </c>
      <c r="BE40" s="24">
        <f t="shared" si="53"/>
        <v>0</v>
      </c>
      <c r="BF40" s="24">
        <f t="shared" si="53"/>
        <v>0</v>
      </c>
      <c r="BG40" s="24">
        <f t="shared" si="53"/>
        <v>0</v>
      </c>
      <c r="BH40" s="24">
        <f t="shared" si="53"/>
        <v>0</v>
      </c>
      <c r="BI40" s="24">
        <f t="shared" si="53"/>
        <v>0</v>
      </c>
      <c r="BJ40" s="24">
        <f t="shared" si="53"/>
        <v>42000</v>
      </c>
      <c r="BK40" s="24">
        <f t="shared" si="53"/>
        <v>0</v>
      </c>
      <c r="BL40" s="24">
        <f t="shared" si="53"/>
        <v>19444756</v>
      </c>
      <c r="BM40" s="24">
        <f t="shared" si="53"/>
        <v>0</v>
      </c>
      <c r="BN40" s="24"/>
      <c r="BO40" s="24"/>
      <c r="BP40" s="24">
        <f t="shared" si="54"/>
        <v>0</v>
      </c>
      <c r="BQ40" s="24">
        <f t="shared" si="55"/>
        <v>647085</v>
      </c>
      <c r="BR40" s="25">
        <f t="shared" si="10"/>
        <v>0.88728569207025232</v>
      </c>
      <c r="BS40" s="24">
        <f t="shared" si="36"/>
        <v>158493357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+'[2]DICIEMBRE 2016'!$H$2388+'[2]DICIEMBRE 2016'!$H$2391+'[2]DICIEMBRE 2016'!$H$2393+'[2]DICIEMBRE 2016'!$W$2395</f>
        <v>7654735</v>
      </c>
      <c r="CG40" s="24"/>
      <c r="CH40" s="24">
        <f>+'[4]DICIEMBRE 2016'!$Y$2387</f>
        <v>128485707</v>
      </c>
      <c r="CI40" s="24"/>
      <c r="CJ40" s="24"/>
      <c r="CK40" s="24"/>
      <c r="CL40" s="24"/>
      <c r="CM40" s="24">
        <f>+'[4]DICIEMBRE 2016'!$AG$2387</f>
        <v>22352915</v>
      </c>
      <c r="CN40" s="25">
        <f t="shared" si="12"/>
        <v>0.11271430792974768</v>
      </c>
      <c r="CO40" s="24">
        <f t="shared" si="37"/>
        <v>20133841</v>
      </c>
      <c r="CP40" s="24">
        <f t="shared" si="46"/>
        <v>0</v>
      </c>
      <c r="CQ40" s="24">
        <f t="shared" si="46"/>
        <v>0</v>
      </c>
      <c r="CR40" s="24">
        <f t="shared" si="46"/>
        <v>0</v>
      </c>
      <c r="CS40" s="24">
        <f t="shared" si="46"/>
        <v>0</v>
      </c>
      <c r="CT40" s="24">
        <f t="shared" si="46"/>
        <v>0</v>
      </c>
      <c r="CU40" s="24">
        <f t="shared" si="46"/>
        <v>0</v>
      </c>
      <c r="CV40" s="24">
        <f t="shared" si="56"/>
        <v>0</v>
      </c>
      <c r="CW40" s="24">
        <f t="shared" si="56"/>
        <v>0</v>
      </c>
      <c r="CX40" s="24">
        <f t="shared" si="56"/>
        <v>0</v>
      </c>
      <c r="CY40" s="24">
        <f t="shared" si="48"/>
        <v>0</v>
      </c>
      <c r="CZ40" s="24">
        <f t="shared" si="48"/>
        <v>0</v>
      </c>
      <c r="DA40" s="24">
        <f t="shared" si="48"/>
        <v>42000</v>
      </c>
      <c r="DB40" s="24">
        <f t="shared" si="57"/>
        <v>0</v>
      </c>
      <c r="DC40" s="24">
        <f t="shared" si="57"/>
        <v>19444756</v>
      </c>
      <c r="DD40" s="24">
        <f t="shared" si="57"/>
        <v>0</v>
      </c>
      <c r="DE40" s="24"/>
      <c r="DF40" s="24">
        <f t="shared" si="58"/>
        <v>0</v>
      </c>
      <c r="DG40" s="24">
        <f t="shared" si="51"/>
        <v>0</v>
      </c>
      <c r="DH40" s="24">
        <f t="shared" si="59"/>
        <v>647085</v>
      </c>
    </row>
    <row r="41" spans="1:112" ht="38.25" customHeight="1" x14ac:dyDescent="0.25">
      <c r="A41" s="246"/>
      <c r="B41" s="240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1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2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+'[3]ENERO 2016'!$W$352</f>
        <v>100000000</v>
      </c>
      <c r="AP41" s="24"/>
      <c r="AQ41" s="24"/>
      <c r="AR41" s="24"/>
      <c r="AS41" s="24"/>
      <c r="AT41" s="24"/>
      <c r="AU41" s="24">
        <f>+'[11]JUNIO 2016'!$AF$1063</f>
        <v>9580000</v>
      </c>
      <c r="AV41" s="24"/>
      <c r="AW41" s="25">
        <f t="shared" si="3"/>
        <v>0.45209999999999995</v>
      </c>
      <c r="AX41" s="24">
        <f t="shared" si="33"/>
        <v>90420000</v>
      </c>
      <c r="AY41" s="24">
        <f t="shared" si="43"/>
        <v>0</v>
      </c>
      <c r="AZ41" s="24">
        <f t="shared" si="43"/>
        <v>0</v>
      </c>
      <c r="BA41" s="24">
        <f t="shared" si="43"/>
        <v>0</v>
      </c>
      <c r="BB41" s="24">
        <f t="shared" si="53"/>
        <v>0</v>
      </c>
      <c r="BC41" s="24">
        <f t="shared" si="53"/>
        <v>0</v>
      </c>
      <c r="BD41" s="24">
        <f t="shared" si="53"/>
        <v>0</v>
      </c>
      <c r="BE41" s="24">
        <f t="shared" si="53"/>
        <v>0</v>
      </c>
      <c r="BF41" s="24">
        <f t="shared" si="53"/>
        <v>0</v>
      </c>
      <c r="BG41" s="24">
        <f t="shared" si="53"/>
        <v>0</v>
      </c>
      <c r="BH41" s="24">
        <f t="shared" si="53"/>
        <v>0</v>
      </c>
      <c r="BI41" s="24">
        <f t="shared" si="53"/>
        <v>0</v>
      </c>
      <c r="BJ41" s="24">
        <f t="shared" si="53"/>
        <v>0</v>
      </c>
      <c r="BK41" s="24">
        <f t="shared" si="53"/>
        <v>0</v>
      </c>
      <c r="BL41" s="24">
        <f t="shared" si="53"/>
        <v>0</v>
      </c>
      <c r="BM41" s="24">
        <f t="shared" si="53"/>
        <v>0</v>
      </c>
      <c r="BN41" s="24"/>
      <c r="BO41" s="24"/>
      <c r="BP41" s="24">
        <f t="shared" si="54"/>
        <v>90420000</v>
      </c>
      <c r="BQ41" s="24">
        <f t="shared" si="55"/>
        <v>0</v>
      </c>
      <c r="BR41" s="25">
        <f t="shared" si="10"/>
        <v>0.54790000000000005</v>
      </c>
      <c r="BS41" s="24">
        <f t="shared" si="36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+'[12]MARZO 2016 ULTIMO'!$H$622</f>
        <v>100000000</v>
      </c>
      <c r="CG41" s="24"/>
      <c r="CH41" s="24"/>
      <c r="CI41" s="24"/>
      <c r="CJ41" s="24"/>
      <c r="CK41" s="24"/>
      <c r="CL41" s="24">
        <f>+'[11]JUNIO 2016'!$AF$1063</f>
        <v>9580000</v>
      </c>
      <c r="CM41" s="24"/>
      <c r="CN41" s="25">
        <f t="shared" si="12"/>
        <v>0.45209999999999995</v>
      </c>
      <c r="CO41" s="24">
        <f t="shared" si="37"/>
        <v>90420000</v>
      </c>
      <c r="CP41" s="24">
        <f t="shared" si="46"/>
        <v>0</v>
      </c>
      <c r="CQ41" s="24">
        <f t="shared" si="46"/>
        <v>0</v>
      </c>
      <c r="CR41" s="24">
        <f t="shared" si="46"/>
        <v>0</v>
      </c>
      <c r="CS41" s="24">
        <f t="shared" si="46"/>
        <v>0</v>
      </c>
      <c r="CT41" s="24">
        <f t="shared" si="46"/>
        <v>0</v>
      </c>
      <c r="CU41" s="24">
        <f t="shared" si="46"/>
        <v>0</v>
      </c>
      <c r="CV41" s="24">
        <f t="shared" si="56"/>
        <v>0</v>
      </c>
      <c r="CW41" s="24">
        <f t="shared" si="56"/>
        <v>0</v>
      </c>
      <c r="CX41" s="24">
        <f t="shared" si="56"/>
        <v>0</v>
      </c>
      <c r="CY41" s="24">
        <f t="shared" si="48"/>
        <v>0</v>
      </c>
      <c r="CZ41" s="24">
        <f t="shared" si="48"/>
        <v>0</v>
      </c>
      <c r="DA41" s="24">
        <f t="shared" si="48"/>
        <v>0</v>
      </c>
      <c r="DB41" s="24">
        <f t="shared" si="57"/>
        <v>0</v>
      </c>
      <c r="DC41" s="24">
        <f t="shared" si="57"/>
        <v>0</v>
      </c>
      <c r="DD41" s="24">
        <f t="shared" si="57"/>
        <v>0</v>
      </c>
      <c r="DE41" s="24"/>
      <c r="DF41" s="24">
        <f t="shared" si="58"/>
        <v>0</v>
      </c>
      <c r="DG41" s="24">
        <f t="shared" si="51"/>
        <v>90420000</v>
      </c>
      <c r="DH41" s="24">
        <f t="shared" si="59"/>
        <v>0</v>
      </c>
    </row>
    <row r="42" spans="1:112" ht="33.75" hidden="1" customHeight="1" x14ac:dyDescent="0.25">
      <c r="A42" s="246"/>
      <c r="B42" s="241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1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2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3"/>
        <v>0</v>
      </c>
      <c r="AY42" s="24">
        <f t="shared" si="43"/>
        <v>0</v>
      </c>
      <c r="AZ42" s="24">
        <f t="shared" si="43"/>
        <v>0</v>
      </c>
      <c r="BA42" s="24">
        <f t="shared" si="43"/>
        <v>0</v>
      </c>
      <c r="BB42" s="24">
        <f t="shared" si="53"/>
        <v>0</v>
      </c>
      <c r="BC42" s="24">
        <f t="shared" si="53"/>
        <v>0</v>
      </c>
      <c r="BD42" s="24">
        <f t="shared" si="53"/>
        <v>0</v>
      </c>
      <c r="BE42" s="24">
        <f t="shared" si="53"/>
        <v>0</v>
      </c>
      <c r="BF42" s="24">
        <f t="shared" si="53"/>
        <v>0</v>
      </c>
      <c r="BG42" s="24">
        <f t="shared" si="53"/>
        <v>0</v>
      </c>
      <c r="BH42" s="24">
        <f t="shared" si="53"/>
        <v>0</v>
      </c>
      <c r="BI42" s="24">
        <f t="shared" si="53"/>
        <v>0</v>
      </c>
      <c r="BJ42" s="24">
        <f t="shared" si="53"/>
        <v>0</v>
      </c>
      <c r="BK42" s="24">
        <f t="shared" si="53"/>
        <v>0</v>
      </c>
      <c r="BL42" s="24">
        <f t="shared" si="53"/>
        <v>0</v>
      </c>
      <c r="BM42" s="24">
        <f t="shared" si="53"/>
        <v>0</v>
      </c>
      <c r="BN42" s="24"/>
      <c r="BO42" s="24"/>
      <c r="BP42" s="24">
        <f t="shared" si="54"/>
        <v>0</v>
      </c>
      <c r="BQ42" s="24">
        <f t="shared" si="55"/>
        <v>0</v>
      </c>
      <c r="BR42" s="25" t="e">
        <f t="shared" si="10"/>
        <v>#DIV/0!</v>
      </c>
      <c r="BS42" s="24">
        <f t="shared" si="36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37"/>
        <v>0</v>
      </c>
      <c r="CP42" s="24">
        <f t="shared" si="46"/>
        <v>0</v>
      </c>
      <c r="CQ42" s="24">
        <f t="shared" si="46"/>
        <v>0</v>
      </c>
      <c r="CR42" s="24">
        <f t="shared" si="46"/>
        <v>0</v>
      </c>
      <c r="CS42" s="24">
        <f t="shared" si="46"/>
        <v>0</v>
      </c>
      <c r="CT42" s="24">
        <f t="shared" si="46"/>
        <v>0</v>
      </c>
      <c r="CU42" s="24">
        <f t="shared" si="46"/>
        <v>0</v>
      </c>
      <c r="CV42" s="24">
        <f t="shared" si="56"/>
        <v>0</v>
      </c>
      <c r="CW42" s="24">
        <f t="shared" si="56"/>
        <v>0</v>
      </c>
      <c r="CX42" s="24">
        <f t="shared" si="56"/>
        <v>0</v>
      </c>
      <c r="CY42" s="24">
        <f t="shared" si="48"/>
        <v>0</v>
      </c>
      <c r="CZ42" s="24">
        <f t="shared" si="48"/>
        <v>0</v>
      </c>
      <c r="DA42" s="24">
        <f t="shared" si="48"/>
        <v>0</v>
      </c>
      <c r="DB42" s="24">
        <f t="shared" si="57"/>
        <v>0</v>
      </c>
      <c r="DC42" s="24">
        <f t="shared" si="57"/>
        <v>0</v>
      </c>
      <c r="DD42" s="24">
        <f t="shared" si="57"/>
        <v>0</v>
      </c>
      <c r="DE42" s="24"/>
      <c r="DF42" s="24">
        <f t="shared" si="58"/>
        <v>0</v>
      </c>
      <c r="DG42" s="24">
        <f t="shared" si="51"/>
        <v>0</v>
      </c>
      <c r="DH42" s="24">
        <f t="shared" si="59"/>
        <v>0</v>
      </c>
    </row>
    <row r="43" spans="1:112" ht="25.5" customHeight="1" x14ac:dyDescent="0.25">
      <c r="A43" s="246"/>
      <c r="B43" s="239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1"/>
        <v>2090344065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1300000000+44000000-44000000+488711643+13621206+25971216+262040000</f>
        <v>2090344065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0.80912088986652064</v>
      </c>
      <c r="AB43" s="24">
        <f t="shared" si="32"/>
        <v>1691341050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+'[4]DICIEMBRE 2016'!$V$2508</f>
        <v>1691341050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0.19087911013347936</v>
      </c>
      <c r="AX43" s="24">
        <f t="shared" si="33"/>
        <v>399003015</v>
      </c>
      <c r="AY43" s="24">
        <f t="shared" si="43"/>
        <v>0</v>
      </c>
      <c r="AZ43" s="24">
        <f t="shared" si="43"/>
        <v>0</v>
      </c>
      <c r="BA43" s="24">
        <f t="shared" si="43"/>
        <v>0</v>
      </c>
      <c r="BB43" s="24">
        <f t="shared" si="53"/>
        <v>0</v>
      </c>
      <c r="BC43" s="24">
        <f t="shared" si="53"/>
        <v>0</v>
      </c>
      <c r="BD43" s="24">
        <f t="shared" si="53"/>
        <v>0</v>
      </c>
      <c r="BE43" s="24">
        <f t="shared" si="53"/>
        <v>0</v>
      </c>
      <c r="BF43" s="24">
        <f t="shared" si="53"/>
        <v>0</v>
      </c>
      <c r="BG43" s="24">
        <f t="shared" si="53"/>
        <v>0</v>
      </c>
      <c r="BH43" s="24">
        <f t="shared" si="53"/>
        <v>0</v>
      </c>
      <c r="BI43" s="24">
        <f t="shared" si="53"/>
        <v>399003015</v>
      </c>
      <c r="BJ43" s="24">
        <f t="shared" si="53"/>
        <v>0</v>
      </c>
      <c r="BK43" s="24">
        <f t="shared" si="53"/>
        <v>0</v>
      </c>
      <c r="BL43" s="24">
        <f t="shared" si="53"/>
        <v>0</v>
      </c>
      <c r="BM43" s="24">
        <f t="shared" si="53"/>
        <v>0</v>
      </c>
      <c r="BN43" s="24"/>
      <c r="BO43" s="24">
        <f>+X43-AT43</f>
        <v>0</v>
      </c>
      <c r="BP43" s="24">
        <f t="shared" si="54"/>
        <v>0</v>
      </c>
      <c r="BQ43" s="24">
        <f t="shared" si="55"/>
        <v>0</v>
      </c>
      <c r="BR43" s="25">
        <f t="shared" si="10"/>
        <v>0.80912088986652064</v>
      </c>
      <c r="BS43" s="24">
        <f t="shared" si="36"/>
        <v>1691341050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+'[4]DICIEMBRE 2016'!$V$2508</f>
        <v>1691341050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0.19087911013347936</v>
      </c>
      <c r="CO43" s="24">
        <f t="shared" si="37"/>
        <v>399003015</v>
      </c>
      <c r="CP43" s="24">
        <f t="shared" si="46"/>
        <v>0</v>
      </c>
      <c r="CQ43" s="24">
        <f t="shared" si="46"/>
        <v>0</v>
      </c>
      <c r="CR43" s="24">
        <f t="shared" si="46"/>
        <v>0</v>
      </c>
      <c r="CS43" s="24">
        <f t="shared" si="46"/>
        <v>0</v>
      </c>
      <c r="CT43" s="24">
        <f t="shared" si="46"/>
        <v>0</v>
      </c>
      <c r="CU43" s="24">
        <f t="shared" si="46"/>
        <v>0</v>
      </c>
      <c r="CV43" s="24">
        <f t="shared" si="56"/>
        <v>0</v>
      </c>
      <c r="CW43" s="24">
        <f t="shared" si="56"/>
        <v>0</v>
      </c>
      <c r="CX43" s="24">
        <f t="shared" si="56"/>
        <v>0</v>
      </c>
      <c r="CY43" s="24">
        <f t="shared" si="48"/>
        <v>0</v>
      </c>
      <c r="CZ43" s="24">
        <f t="shared" si="48"/>
        <v>399003015</v>
      </c>
      <c r="DA43" s="24">
        <f t="shared" si="48"/>
        <v>0</v>
      </c>
      <c r="DB43" s="24">
        <f t="shared" si="57"/>
        <v>0</v>
      </c>
      <c r="DC43" s="24">
        <f t="shared" si="57"/>
        <v>0</v>
      </c>
      <c r="DD43" s="24">
        <f t="shared" si="57"/>
        <v>0</v>
      </c>
      <c r="DE43" s="24"/>
      <c r="DF43" s="24">
        <f t="shared" si="58"/>
        <v>0</v>
      </c>
      <c r="DG43" s="24">
        <f t="shared" si="51"/>
        <v>0</v>
      </c>
      <c r="DH43" s="24">
        <f t="shared" si="59"/>
        <v>0</v>
      </c>
    </row>
    <row r="44" spans="1:112" ht="41.25" customHeight="1" x14ac:dyDescent="0.25">
      <c r="A44" s="246"/>
      <c r="B44" s="240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1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0.91862840336846285</v>
      </c>
      <c r="AB44" s="24">
        <f t="shared" si="32"/>
        <v>88275477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+'[2]DICIEMBRE 2016'!$Y$3069</f>
        <v>88275477</v>
      </c>
      <c r="AR44" s="24"/>
      <c r="AS44" s="24"/>
      <c r="AT44" s="24"/>
      <c r="AU44" s="24"/>
      <c r="AV44" s="24"/>
      <c r="AW44" s="25">
        <f t="shared" si="3"/>
        <v>8.1371596631537146E-2</v>
      </c>
      <c r="AX44" s="24">
        <f t="shared" si="33"/>
        <v>7819393</v>
      </c>
      <c r="AY44" s="24">
        <f t="shared" si="43"/>
        <v>0</v>
      </c>
      <c r="AZ44" s="24">
        <f t="shared" si="43"/>
        <v>0</v>
      </c>
      <c r="BA44" s="24">
        <f t="shared" si="43"/>
        <v>0</v>
      </c>
      <c r="BB44" s="24">
        <f t="shared" si="53"/>
        <v>0</v>
      </c>
      <c r="BC44" s="24">
        <f t="shared" si="53"/>
        <v>0</v>
      </c>
      <c r="BD44" s="24">
        <f t="shared" si="53"/>
        <v>0</v>
      </c>
      <c r="BE44" s="24">
        <f t="shared" si="53"/>
        <v>0</v>
      </c>
      <c r="BF44" s="24">
        <f>+O44-AL44</f>
        <v>0</v>
      </c>
      <c r="BG44" s="24">
        <f>+P44-AM44</f>
        <v>0</v>
      </c>
      <c r="BH44" s="24">
        <f t="shared" si="53"/>
        <v>0</v>
      </c>
      <c r="BI44" s="24">
        <f t="shared" si="53"/>
        <v>0</v>
      </c>
      <c r="BJ44" s="24">
        <f t="shared" si="53"/>
        <v>0</v>
      </c>
      <c r="BK44" s="24">
        <f t="shared" si="53"/>
        <v>0</v>
      </c>
      <c r="BL44" s="24">
        <f t="shared" si="53"/>
        <v>7819393</v>
      </c>
      <c r="BM44" s="24">
        <f t="shared" si="53"/>
        <v>0</v>
      </c>
      <c r="BN44" s="24"/>
      <c r="BO44" s="24">
        <f>+X44-AT44</f>
        <v>0</v>
      </c>
      <c r="BP44" s="24">
        <f t="shared" si="54"/>
        <v>0</v>
      </c>
      <c r="BQ44" s="24">
        <f t="shared" si="55"/>
        <v>0</v>
      </c>
      <c r="BR44" s="25">
        <f t="shared" si="10"/>
        <v>0.91862840336846285</v>
      </c>
      <c r="BS44" s="24">
        <f t="shared" si="36"/>
        <v>88275477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+'[5]NOVIEMBRE 2016'!$H$2917</f>
        <v>88275477</v>
      </c>
      <c r="CI44" s="24"/>
      <c r="CJ44" s="24"/>
      <c r="CK44" s="24"/>
      <c r="CL44" s="24"/>
      <c r="CM44" s="24"/>
      <c r="CN44" s="25">
        <f t="shared" si="12"/>
        <v>8.1371596631537146E-2</v>
      </c>
      <c r="CO44" s="24">
        <f t="shared" si="37"/>
        <v>7819393</v>
      </c>
      <c r="CP44" s="24">
        <f t="shared" si="46"/>
        <v>0</v>
      </c>
      <c r="CQ44" s="24">
        <f t="shared" si="46"/>
        <v>0</v>
      </c>
      <c r="CR44" s="24">
        <f t="shared" si="46"/>
        <v>0</v>
      </c>
      <c r="CS44" s="24">
        <f t="shared" si="46"/>
        <v>0</v>
      </c>
      <c r="CT44" s="24">
        <f t="shared" si="46"/>
        <v>0</v>
      </c>
      <c r="CU44" s="24">
        <f t="shared" si="46"/>
        <v>0</v>
      </c>
      <c r="CV44" s="24">
        <f t="shared" si="56"/>
        <v>0</v>
      </c>
      <c r="CW44" s="24">
        <f t="shared" si="56"/>
        <v>0</v>
      </c>
      <c r="CX44" s="24">
        <f t="shared" si="56"/>
        <v>0</v>
      </c>
      <c r="CY44" s="24">
        <f t="shared" si="48"/>
        <v>0</v>
      </c>
      <c r="CZ44" s="24">
        <f t="shared" si="48"/>
        <v>0</v>
      </c>
      <c r="DA44" s="24">
        <f t="shared" si="48"/>
        <v>0</v>
      </c>
      <c r="DB44" s="24">
        <f t="shared" si="57"/>
        <v>0</v>
      </c>
      <c r="DC44" s="24">
        <f t="shared" si="57"/>
        <v>7819393</v>
      </c>
      <c r="DD44" s="24">
        <f t="shared" si="57"/>
        <v>0</v>
      </c>
      <c r="DE44" s="24"/>
      <c r="DF44" s="24">
        <f t="shared" si="58"/>
        <v>0</v>
      </c>
      <c r="DG44" s="24">
        <f t="shared" si="51"/>
        <v>0</v>
      </c>
      <c r="DH44" s="24">
        <f t="shared" si="59"/>
        <v>0</v>
      </c>
    </row>
    <row r="45" spans="1:112" ht="24" customHeight="1" x14ac:dyDescent="0.25">
      <c r="A45" s="246"/>
      <c r="B45" s="241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1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0.79209560976756954</v>
      </c>
      <c r="AB45" s="24">
        <f t="shared" si="32"/>
        <v>17514129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+'[4]DICIEMBRE 2016'!$Y$3092</f>
        <v>17514129</v>
      </c>
      <c r="AR45" s="24"/>
      <c r="AS45" s="24"/>
      <c r="AT45" s="24"/>
      <c r="AU45" s="24"/>
      <c r="AV45" s="24"/>
      <c r="AW45" s="25">
        <f t="shared" si="3"/>
        <v>0.20790439023243046</v>
      </c>
      <c r="AX45" s="24">
        <f t="shared" si="33"/>
        <v>4597001</v>
      </c>
      <c r="AY45" s="24">
        <f t="shared" si="43"/>
        <v>0</v>
      </c>
      <c r="AZ45" s="24">
        <f t="shared" si="43"/>
        <v>0</v>
      </c>
      <c r="BA45" s="24">
        <f t="shared" si="43"/>
        <v>0</v>
      </c>
      <c r="BB45" s="24">
        <f t="shared" si="53"/>
        <v>0</v>
      </c>
      <c r="BC45" s="24">
        <f t="shared" si="53"/>
        <v>0</v>
      </c>
      <c r="BD45" s="24">
        <f t="shared" si="53"/>
        <v>0</v>
      </c>
      <c r="BE45" s="24">
        <f t="shared" si="53"/>
        <v>0</v>
      </c>
      <c r="BF45" s="24">
        <f>+O45-AL45</f>
        <v>0</v>
      </c>
      <c r="BG45" s="24">
        <f>+P45-AM45</f>
        <v>0</v>
      </c>
      <c r="BH45" s="24">
        <f t="shared" si="53"/>
        <v>0</v>
      </c>
      <c r="BI45" s="24">
        <f t="shared" si="53"/>
        <v>0</v>
      </c>
      <c r="BJ45" s="24">
        <f t="shared" si="53"/>
        <v>0</v>
      </c>
      <c r="BK45" s="24"/>
      <c r="BL45" s="24">
        <f t="shared" si="53"/>
        <v>4597001</v>
      </c>
      <c r="BM45" s="24">
        <f t="shared" si="53"/>
        <v>0</v>
      </c>
      <c r="BN45" s="24"/>
      <c r="BO45" s="24"/>
      <c r="BP45" s="24">
        <f t="shared" si="54"/>
        <v>0</v>
      </c>
      <c r="BQ45" s="24">
        <f t="shared" si="55"/>
        <v>0</v>
      </c>
      <c r="BR45" s="25">
        <f t="shared" si="10"/>
        <v>0.79209560976756954</v>
      </c>
      <c r="BS45" s="24">
        <f t="shared" si="36"/>
        <v>17514129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+'[4]DICIEMBRE 2016'!$Y$3092</f>
        <v>17514129</v>
      </c>
      <c r="CI45" s="24"/>
      <c r="CJ45" s="24"/>
      <c r="CK45" s="24"/>
      <c r="CL45" s="24"/>
      <c r="CM45" s="24"/>
      <c r="CN45" s="25">
        <f t="shared" si="12"/>
        <v>0.20790439023243046</v>
      </c>
      <c r="CO45" s="24">
        <f t="shared" si="37"/>
        <v>4597001</v>
      </c>
      <c r="CP45" s="24">
        <f t="shared" si="46"/>
        <v>0</v>
      </c>
      <c r="CQ45" s="24">
        <f t="shared" si="46"/>
        <v>0</v>
      </c>
      <c r="CR45" s="24">
        <f t="shared" si="46"/>
        <v>0</v>
      </c>
      <c r="CS45" s="24">
        <f t="shared" si="46"/>
        <v>0</v>
      </c>
      <c r="CT45" s="24">
        <f t="shared" si="46"/>
        <v>0</v>
      </c>
      <c r="CU45" s="24">
        <f t="shared" si="46"/>
        <v>0</v>
      </c>
      <c r="CV45" s="24">
        <f t="shared" si="56"/>
        <v>0</v>
      </c>
      <c r="CW45" s="24">
        <f t="shared" si="56"/>
        <v>0</v>
      </c>
      <c r="CX45" s="24">
        <f t="shared" si="56"/>
        <v>0</v>
      </c>
      <c r="CY45" s="24">
        <f t="shared" si="48"/>
        <v>0</v>
      </c>
      <c r="CZ45" s="24">
        <f t="shared" si="48"/>
        <v>0</v>
      </c>
      <c r="DA45" s="24">
        <f t="shared" si="48"/>
        <v>0</v>
      </c>
      <c r="DB45" s="24">
        <f t="shared" si="57"/>
        <v>0</v>
      </c>
      <c r="DC45" s="24">
        <f t="shared" si="57"/>
        <v>4597001</v>
      </c>
      <c r="DD45" s="24">
        <f t="shared" si="57"/>
        <v>0</v>
      </c>
      <c r="DE45" s="24"/>
      <c r="DF45" s="24">
        <f t="shared" si="58"/>
        <v>0</v>
      </c>
      <c r="DG45" s="24">
        <f t="shared" si="51"/>
        <v>0</v>
      </c>
      <c r="DH45" s="24">
        <f t="shared" si="59"/>
        <v>0</v>
      </c>
    </row>
    <row r="46" spans="1:112" ht="21" customHeight="1" x14ac:dyDescent="0.25">
      <c r="A46" s="246"/>
      <c r="B46" s="239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1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0.77408184999999996</v>
      </c>
      <c r="AB46" s="24">
        <f t="shared" si="32"/>
        <v>15481637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+'[4]DICIEMBRE 2016'!$Y$3106</f>
        <v>15481637</v>
      </c>
      <c r="AR46" s="24"/>
      <c r="AS46" s="24"/>
      <c r="AT46" s="24"/>
      <c r="AU46" s="24"/>
      <c r="AV46" s="24"/>
      <c r="AW46" s="25">
        <f t="shared" si="3"/>
        <v>0.22591815000000004</v>
      </c>
      <c r="AX46" s="24">
        <f t="shared" si="33"/>
        <v>4518363</v>
      </c>
      <c r="AY46" s="24">
        <f t="shared" si="43"/>
        <v>0</v>
      </c>
      <c r="AZ46" s="24">
        <f t="shared" si="43"/>
        <v>0</v>
      </c>
      <c r="BA46" s="24">
        <f t="shared" si="43"/>
        <v>0</v>
      </c>
      <c r="BB46" s="24">
        <f t="shared" si="53"/>
        <v>0</v>
      </c>
      <c r="BC46" s="24">
        <f t="shared" si="53"/>
        <v>0</v>
      </c>
      <c r="BD46" s="24">
        <f t="shared" si="53"/>
        <v>0</v>
      </c>
      <c r="BE46" s="24">
        <f t="shared" si="53"/>
        <v>0</v>
      </c>
      <c r="BF46" s="24">
        <f t="shared" si="53"/>
        <v>0</v>
      </c>
      <c r="BG46" s="24">
        <f t="shared" ref="BG46:BG59" si="60">+P46-AM46</f>
        <v>0</v>
      </c>
      <c r="BH46" s="24">
        <f t="shared" si="53"/>
        <v>0</v>
      </c>
      <c r="BI46" s="24">
        <f t="shared" si="53"/>
        <v>0</v>
      </c>
      <c r="BJ46" s="24">
        <f t="shared" si="53"/>
        <v>0</v>
      </c>
      <c r="BK46" s="24">
        <f>+T46-AP46</f>
        <v>0</v>
      </c>
      <c r="BL46" s="24">
        <f t="shared" si="53"/>
        <v>4518363</v>
      </c>
      <c r="BM46" s="24">
        <f t="shared" si="53"/>
        <v>0</v>
      </c>
      <c r="BN46" s="24"/>
      <c r="BO46" s="24">
        <f>+X46-AT46</f>
        <v>0</v>
      </c>
      <c r="BP46" s="24">
        <f t="shared" si="54"/>
        <v>0</v>
      </c>
      <c r="BQ46" s="24">
        <f t="shared" si="55"/>
        <v>0</v>
      </c>
      <c r="BR46" s="25">
        <f t="shared" si="10"/>
        <v>0.77408184999999996</v>
      </c>
      <c r="BS46" s="24">
        <f t="shared" si="36"/>
        <v>15481637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+'[4]DICIEMBRE 2016'!$Y$3106</f>
        <v>15481637</v>
      </c>
      <c r="CI46" s="24"/>
      <c r="CJ46" s="24"/>
      <c r="CK46" s="24"/>
      <c r="CL46" s="24"/>
      <c r="CM46" s="24"/>
      <c r="CN46" s="25">
        <f t="shared" si="12"/>
        <v>0.22591815000000004</v>
      </c>
      <c r="CO46" s="24">
        <f t="shared" si="37"/>
        <v>4518363</v>
      </c>
      <c r="CP46" s="24">
        <f t="shared" si="46"/>
        <v>0</v>
      </c>
      <c r="CQ46" s="24">
        <f t="shared" si="46"/>
        <v>0</v>
      </c>
      <c r="CR46" s="24">
        <f t="shared" si="46"/>
        <v>0</v>
      </c>
      <c r="CS46" s="24">
        <f t="shared" si="46"/>
        <v>0</v>
      </c>
      <c r="CT46" s="24">
        <f t="shared" si="46"/>
        <v>0</v>
      </c>
      <c r="CU46" s="24">
        <f t="shared" si="46"/>
        <v>0</v>
      </c>
      <c r="CV46" s="24">
        <f t="shared" si="56"/>
        <v>0</v>
      </c>
      <c r="CW46" s="24">
        <f t="shared" si="56"/>
        <v>0</v>
      </c>
      <c r="CX46" s="24">
        <f t="shared" si="56"/>
        <v>0</v>
      </c>
      <c r="CY46" s="24">
        <f t="shared" si="48"/>
        <v>0</v>
      </c>
      <c r="CZ46" s="24">
        <f t="shared" si="48"/>
        <v>0</v>
      </c>
      <c r="DA46" s="24">
        <f t="shared" si="48"/>
        <v>0</v>
      </c>
      <c r="DB46" s="24">
        <f t="shared" si="57"/>
        <v>0</v>
      </c>
      <c r="DC46" s="24">
        <f t="shared" si="57"/>
        <v>4518363</v>
      </c>
      <c r="DD46" s="24">
        <f t="shared" si="57"/>
        <v>0</v>
      </c>
      <c r="DE46" s="24"/>
      <c r="DF46" s="24">
        <f t="shared" si="58"/>
        <v>0</v>
      </c>
      <c r="DG46" s="24">
        <f t="shared" si="51"/>
        <v>0</v>
      </c>
      <c r="DH46" s="24">
        <f t="shared" si="59"/>
        <v>0</v>
      </c>
    </row>
    <row r="47" spans="1:112" ht="30" x14ac:dyDescent="0.25">
      <c r="A47" s="246"/>
      <c r="B47" s="240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1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2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+'[10]SEPTIEMBRE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3"/>
        <v>3166</v>
      </c>
      <c r="AY47" s="24">
        <f t="shared" si="43"/>
        <v>0</v>
      </c>
      <c r="AZ47" s="24">
        <f t="shared" si="43"/>
        <v>0</v>
      </c>
      <c r="BA47" s="24">
        <f t="shared" si="43"/>
        <v>0</v>
      </c>
      <c r="BB47" s="24">
        <f t="shared" si="53"/>
        <v>0</v>
      </c>
      <c r="BC47" s="24">
        <f t="shared" si="53"/>
        <v>0</v>
      </c>
      <c r="BD47" s="24">
        <f t="shared" si="53"/>
        <v>0</v>
      </c>
      <c r="BE47" s="24">
        <f t="shared" si="53"/>
        <v>0</v>
      </c>
      <c r="BF47" s="24">
        <f t="shared" si="53"/>
        <v>0</v>
      </c>
      <c r="BG47" s="24">
        <f t="shared" si="60"/>
        <v>0</v>
      </c>
      <c r="BH47" s="24">
        <f t="shared" si="53"/>
        <v>0</v>
      </c>
      <c r="BI47" s="24">
        <f t="shared" si="53"/>
        <v>0</v>
      </c>
      <c r="BJ47" s="24">
        <f t="shared" si="53"/>
        <v>0</v>
      </c>
      <c r="BK47" s="24">
        <f>+T47-AP47</f>
        <v>0</v>
      </c>
      <c r="BL47" s="24">
        <f t="shared" si="53"/>
        <v>3166</v>
      </c>
      <c r="BM47" s="24">
        <f t="shared" si="53"/>
        <v>0</v>
      </c>
      <c r="BN47" s="24"/>
      <c r="BO47" s="24"/>
      <c r="BP47" s="24">
        <f t="shared" si="54"/>
        <v>0</v>
      </c>
      <c r="BQ47" s="24">
        <f t="shared" si="55"/>
        <v>0</v>
      </c>
      <c r="BR47" s="25">
        <f t="shared" si="10"/>
        <v>0.9996834</v>
      </c>
      <c r="BS47" s="24">
        <f t="shared" si="36"/>
        <v>9996834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+'[2]DICIEMBRE 2016'!$H$3114</f>
        <v>9996834</v>
      </c>
      <c r="CI47" s="24"/>
      <c r="CJ47" s="24"/>
      <c r="CK47" s="24"/>
      <c r="CL47" s="24"/>
      <c r="CM47" s="24"/>
      <c r="CN47" s="25">
        <f t="shared" si="12"/>
        <v>3.1660000000000021E-4</v>
      </c>
      <c r="CO47" s="24">
        <f t="shared" si="37"/>
        <v>3166</v>
      </c>
      <c r="CP47" s="24">
        <f t="shared" si="46"/>
        <v>0</v>
      </c>
      <c r="CQ47" s="24">
        <f t="shared" si="46"/>
        <v>0</v>
      </c>
      <c r="CR47" s="24">
        <f t="shared" si="46"/>
        <v>0</v>
      </c>
      <c r="CS47" s="24">
        <f t="shared" si="46"/>
        <v>0</v>
      </c>
      <c r="CT47" s="24">
        <f t="shared" si="46"/>
        <v>0</v>
      </c>
      <c r="CU47" s="24">
        <f t="shared" si="46"/>
        <v>0</v>
      </c>
      <c r="CV47" s="24">
        <f t="shared" si="56"/>
        <v>0</v>
      </c>
      <c r="CW47" s="24">
        <f t="shared" si="56"/>
        <v>0</v>
      </c>
      <c r="CX47" s="24">
        <f t="shared" si="56"/>
        <v>0</v>
      </c>
      <c r="CY47" s="24">
        <f t="shared" si="48"/>
        <v>0</v>
      </c>
      <c r="CZ47" s="24">
        <f t="shared" si="48"/>
        <v>0</v>
      </c>
      <c r="DA47" s="24">
        <f t="shared" si="48"/>
        <v>0</v>
      </c>
      <c r="DB47" s="24">
        <f t="shared" si="57"/>
        <v>0</v>
      </c>
      <c r="DC47" s="24">
        <f t="shared" si="57"/>
        <v>3166</v>
      </c>
      <c r="DD47" s="24">
        <f t="shared" si="57"/>
        <v>0</v>
      </c>
      <c r="DE47" s="24"/>
      <c r="DF47" s="24">
        <f t="shared" si="58"/>
        <v>0</v>
      </c>
      <c r="DG47" s="24">
        <f t="shared" si="51"/>
        <v>0</v>
      </c>
      <c r="DH47" s="24">
        <f t="shared" si="59"/>
        <v>0</v>
      </c>
    </row>
    <row r="48" spans="1:112" ht="22.5" customHeight="1" x14ac:dyDescent="0.25">
      <c r="A48" s="246"/>
      <c r="B48" s="240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1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2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+'[9]AGOSTO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3"/>
        <v>2388</v>
      </c>
      <c r="AY48" s="24">
        <f t="shared" si="43"/>
        <v>0</v>
      </c>
      <c r="AZ48" s="24">
        <f t="shared" si="43"/>
        <v>0</v>
      </c>
      <c r="BA48" s="24">
        <f t="shared" si="43"/>
        <v>0</v>
      </c>
      <c r="BB48" s="24">
        <f t="shared" si="53"/>
        <v>0</v>
      </c>
      <c r="BC48" s="24">
        <f t="shared" si="53"/>
        <v>0</v>
      </c>
      <c r="BD48" s="24">
        <f t="shared" si="53"/>
        <v>0</v>
      </c>
      <c r="BE48" s="24">
        <f t="shared" si="53"/>
        <v>0</v>
      </c>
      <c r="BF48" s="24">
        <f t="shared" si="53"/>
        <v>0</v>
      </c>
      <c r="BG48" s="24">
        <f t="shared" si="60"/>
        <v>0</v>
      </c>
      <c r="BH48" s="24">
        <f t="shared" si="53"/>
        <v>0</v>
      </c>
      <c r="BI48" s="24">
        <f t="shared" si="53"/>
        <v>0</v>
      </c>
      <c r="BJ48" s="24">
        <f t="shared" si="53"/>
        <v>0</v>
      </c>
      <c r="BK48" s="24"/>
      <c r="BL48" s="24">
        <f t="shared" si="53"/>
        <v>2388</v>
      </c>
      <c r="BM48" s="24">
        <f t="shared" si="53"/>
        <v>0</v>
      </c>
      <c r="BN48" s="24"/>
      <c r="BO48" s="24"/>
      <c r="BP48" s="24">
        <f t="shared" si="54"/>
        <v>0</v>
      </c>
      <c r="BQ48" s="24">
        <f t="shared" si="55"/>
        <v>0</v>
      </c>
      <c r="BR48" s="25">
        <f t="shared" si="10"/>
        <v>0.99988060000000001</v>
      </c>
      <c r="BS48" s="24">
        <f t="shared" si="36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+'[10]SEPTIEMBRE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37"/>
        <v>2388</v>
      </c>
      <c r="CP48" s="24">
        <f t="shared" si="46"/>
        <v>0</v>
      </c>
      <c r="CQ48" s="24">
        <f t="shared" si="46"/>
        <v>0</v>
      </c>
      <c r="CR48" s="24">
        <f t="shared" si="46"/>
        <v>0</v>
      </c>
      <c r="CS48" s="24">
        <f t="shared" si="46"/>
        <v>0</v>
      </c>
      <c r="CT48" s="24">
        <f t="shared" si="46"/>
        <v>0</v>
      </c>
      <c r="CU48" s="24">
        <f t="shared" si="46"/>
        <v>0</v>
      </c>
      <c r="CV48" s="24">
        <f t="shared" si="56"/>
        <v>0</v>
      </c>
      <c r="CW48" s="24">
        <f t="shared" si="56"/>
        <v>0</v>
      </c>
      <c r="CX48" s="24">
        <f t="shared" si="56"/>
        <v>0</v>
      </c>
      <c r="CY48" s="24">
        <f t="shared" si="56"/>
        <v>0</v>
      </c>
      <c r="CZ48" s="24">
        <f t="shared" si="56"/>
        <v>0</v>
      </c>
      <c r="DA48" s="24">
        <f t="shared" si="56"/>
        <v>0</v>
      </c>
      <c r="DB48" s="24">
        <f t="shared" si="57"/>
        <v>0</v>
      </c>
      <c r="DC48" s="24">
        <f t="shared" si="57"/>
        <v>2388</v>
      </c>
      <c r="DD48" s="24">
        <f t="shared" si="57"/>
        <v>0</v>
      </c>
      <c r="DE48" s="24"/>
      <c r="DF48" s="24">
        <f t="shared" si="58"/>
        <v>0</v>
      </c>
      <c r="DG48" s="24">
        <f t="shared" ref="DG48:DG59" si="61">Y48-CL48</f>
        <v>0</v>
      </c>
      <c r="DH48" s="24">
        <f t="shared" si="59"/>
        <v>0</v>
      </c>
    </row>
    <row r="49" spans="1:113" ht="36" customHeight="1" x14ac:dyDescent="0.25">
      <c r="A49" s="246"/>
      <c r="B49" s="241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1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2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+'[10]SEPTIEMBRE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3"/>
        <v>3200000</v>
      </c>
      <c r="AY49" s="24">
        <f t="shared" si="43"/>
        <v>0</v>
      </c>
      <c r="AZ49" s="24">
        <f t="shared" si="43"/>
        <v>0</v>
      </c>
      <c r="BA49" s="24">
        <f t="shared" si="43"/>
        <v>0</v>
      </c>
      <c r="BB49" s="24">
        <f t="shared" si="53"/>
        <v>0</v>
      </c>
      <c r="BC49" s="24">
        <f t="shared" si="53"/>
        <v>0</v>
      </c>
      <c r="BD49" s="24">
        <f t="shared" si="53"/>
        <v>0</v>
      </c>
      <c r="BE49" s="24">
        <f t="shared" si="53"/>
        <v>0</v>
      </c>
      <c r="BF49" s="24">
        <f t="shared" si="53"/>
        <v>0</v>
      </c>
      <c r="BG49" s="24">
        <f t="shared" si="60"/>
        <v>0</v>
      </c>
      <c r="BH49" s="24">
        <f t="shared" si="53"/>
        <v>0</v>
      </c>
      <c r="BI49" s="24">
        <f t="shared" si="53"/>
        <v>0</v>
      </c>
      <c r="BJ49" s="24">
        <f t="shared" si="53"/>
        <v>0</v>
      </c>
      <c r="BK49" s="24"/>
      <c r="BL49" s="24">
        <f t="shared" si="53"/>
        <v>0</v>
      </c>
      <c r="BM49" s="24">
        <f t="shared" si="53"/>
        <v>0</v>
      </c>
      <c r="BN49" s="24"/>
      <c r="BO49" s="24"/>
      <c r="BP49" s="24">
        <f t="shared" si="54"/>
        <v>0</v>
      </c>
      <c r="BQ49" s="24">
        <f t="shared" si="55"/>
        <v>3200000</v>
      </c>
      <c r="BR49" s="25">
        <f t="shared" si="10"/>
        <v>0.75757575757575757</v>
      </c>
      <c r="BS49" s="24">
        <f t="shared" si="36"/>
        <v>10000000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+'[2]DICIEMBRE 2016'!$H$3127</f>
        <v>10000000</v>
      </c>
      <c r="CI49" s="24"/>
      <c r="CJ49" s="24"/>
      <c r="CK49" s="24"/>
      <c r="CL49" s="24"/>
      <c r="CM49" s="24"/>
      <c r="CN49" s="25">
        <f t="shared" si="12"/>
        <v>0.24242424242424243</v>
      </c>
      <c r="CO49" s="24">
        <f t="shared" si="37"/>
        <v>3200000</v>
      </c>
      <c r="CP49" s="24">
        <f t="shared" si="46"/>
        <v>0</v>
      </c>
      <c r="CQ49" s="24">
        <f t="shared" si="46"/>
        <v>0</v>
      </c>
      <c r="CR49" s="24">
        <f t="shared" si="46"/>
        <v>0</v>
      </c>
      <c r="CS49" s="24">
        <f t="shared" si="46"/>
        <v>0</v>
      </c>
      <c r="CT49" s="24">
        <f t="shared" si="46"/>
        <v>0</v>
      </c>
      <c r="CU49" s="24">
        <f t="shared" si="46"/>
        <v>0</v>
      </c>
      <c r="CV49" s="24">
        <f t="shared" si="56"/>
        <v>0</v>
      </c>
      <c r="CW49" s="24">
        <f t="shared" si="56"/>
        <v>0</v>
      </c>
      <c r="CX49" s="24">
        <f t="shared" si="56"/>
        <v>0</v>
      </c>
      <c r="CY49" s="24">
        <f t="shared" si="56"/>
        <v>0</v>
      </c>
      <c r="CZ49" s="24">
        <f t="shared" si="56"/>
        <v>0</v>
      </c>
      <c r="DA49" s="24">
        <f t="shared" si="56"/>
        <v>0</v>
      </c>
      <c r="DB49" s="24">
        <f t="shared" si="57"/>
        <v>0</v>
      </c>
      <c r="DC49" s="24">
        <f t="shared" si="57"/>
        <v>0</v>
      </c>
      <c r="DD49" s="24">
        <f t="shared" si="57"/>
        <v>0</v>
      </c>
      <c r="DE49" s="24"/>
      <c r="DF49" s="24">
        <f t="shared" si="58"/>
        <v>0</v>
      </c>
      <c r="DG49" s="24">
        <f t="shared" si="61"/>
        <v>0</v>
      </c>
      <c r="DH49" s="24">
        <f t="shared" si="59"/>
        <v>3200000</v>
      </c>
    </row>
    <row r="50" spans="1:113" ht="23.25" customHeight="1" x14ac:dyDescent="0.25">
      <c r="A50" s="246" t="s">
        <v>87</v>
      </c>
      <c r="B50" s="239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1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0.99321566274228323</v>
      </c>
      <c r="AB50" s="24">
        <f t="shared" si="32"/>
        <v>372199461</v>
      </c>
      <c r="AC50" s="24"/>
      <c r="AD50" s="24"/>
      <c r="AE50" s="24">
        <f>+'[3]ENERO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+'[4]DICIEMBRE 2016'!$AF$3141</f>
        <v>102199461</v>
      </c>
      <c r="AV50" s="24"/>
      <c r="AW50" s="25">
        <f t="shared" si="3"/>
        <v>6.784337257716766E-3</v>
      </c>
      <c r="AX50" s="24">
        <f t="shared" si="33"/>
        <v>2542375</v>
      </c>
      <c r="AY50" s="24">
        <f t="shared" si="43"/>
        <v>0</v>
      </c>
      <c r="AZ50" s="24">
        <f t="shared" si="43"/>
        <v>0</v>
      </c>
      <c r="BA50" s="24">
        <f t="shared" si="43"/>
        <v>0</v>
      </c>
      <c r="BB50" s="24">
        <f t="shared" si="53"/>
        <v>0</v>
      </c>
      <c r="BC50" s="24">
        <f t="shared" si="53"/>
        <v>0</v>
      </c>
      <c r="BD50" s="24">
        <f t="shared" si="53"/>
        <v>0</v>
      </c>
      <c r="BE50" s="24">
        <f t="shared" si="53"/>
        <v>0</v>
      </c>
      <c r="BF50" s="24">
        <f t="shared" si="53"/>
        <v>0</v>
      </c>
      <c r="BG50" s="24">
        <f t="shared" si="60"/>
        <v>0</v>
      </c>
      <c r="BH50" s="24">
        <f t="shared" si="53"/>
        <v>0</v>
      </c>
      <c r="BI50" s="24">
        <f t="shared" si="53"/>
        <v>0</v>
      </c>
      <c r="BJ50" s="24">
        <f t="shared" si="53"/>
        <v>0</v>
      </c>
      <c r="BK50" s="24">
        <f>+T50-AP50</f>
        <v>0</v>
      </c>
      <c r="BL50" s="24">
        <f t="shared" si="53"/>
        <v>0</v>
      </c>
      <c r="BM50" s="24">
        <f t="shared" si="53"/>
        <v>0</v>
      </c>
      <c r="BN50" s="24"/>
      <c r="BO50" s="24"/>
      <c r="BP50" s="24">
        <f t="shared" si="54"/>
        <v>2542375</v>
      </c>
      <c r="BQ50" s="24">
        <f t="shared" si="55"/>
        <v>0</v>
      </c>
      <c r="BR50" s="25">
        <f t="shared" si="10"/>
        <v>0.99321566274228323</v>
      </c>
      <c r="BS50" s="24">
        <f t="shared" si="36"/>
        <v>372199461</v>
      </c>
      <c r="BT50" s="24"/>
      <c r="BU50" s="24"/>
      <c r="BV50" s="24">
        <f>+'[3]ENERO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+'[4]DICIEMBRE 2016'!$AF$3141</f>
        <v>102199461</v>
      </c>
      <c r="CM50" s="24"/>
      <c r="CN50" s="25">
        <f t="shared" si="12"/>
        <v>6.784337257716766E-3</v>
      </c>
      <c r="CO50" s="24">
        <f t="shared" si="37"/>
        <v>2542375</v>
      </c>
      <c r="CP50" s="24">
        <f t="shared" si="46"/>
        <v>0</v>
      </c>
      <c r="CQ50" s="24">
        <f t="shared" si="46"/>
        <v>0</v>
      </c>
      <c r="CR50" s="24">
        <f t="shared" si="46"/>
        <v>0</v>
      </c>
      <c r="CS50" s="24">
        <f t="shared" si="46"/>
        <v>0</v>
      </c>
      <c r="CT50" s="24">
        <f t="shared" si="46"/>
        <v>0</v>
      </c>
      <c r="CU50" s="24">
        <f t="shared" si="46"/>
        <v>0</v>
      </c>
      <c r="CV50" s="24">
        <f t="shared" si="56"/>
        <v>0</v>
      </c>
      <c r="CW50" s="24">
        <f t="shared" si="56"/>
        <v>0</v>
      </c>
      <c r="CX50" s="24">
        <f t="shared" si="56"/>
        <v>0</v>
      </c>
      <c r="CY50" s="24">
        <f t="shared" ref="CY50:DA59" si="62">Q50-CD50</f>
        <v>0</v>
      </c>
      <c r="CZ50" s="24">
        <f t="shared" si="62"/>
        <v>0</v>
      </c>
      <c r="DA50" s="24">
        <f t="shared" si="62"/>
        <v>0</v>
      </c>
      <c r="DB50" s="24">
        <f t="shared" si="57"/>
        <v>0</v>
      </c>
      <c r="DC50" s="24">
        <f t="shared" si="57"/>
        <v>0</v>
      </c>
      <c r="DD50" s="24">
        <f t="shared" si="57"/>
        <v>0</v>
      </c>
      <c r="DE50" s="24"/>
      <c r="DF50" s="24">
        <f t="shared" si="58"/>
        <v>0</v>
      </c>
      <c r="DG50" s="24">
        <f t="shared" si="61"/>
        <v>2542375</v>
      </c>
      <c r="DH50" s="24">
        <f t="shared" si="59"/>
        <v>0</v>
      </c>
    </row>
    <row r="51" spans="1:113" s="58" customFormat="1" ht="22.5" customHeight="1" x14ac:dyDescent="0.25">
      <c r="A51" s="246"/>
      <c r="B51" s="241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1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2"/>
        <v>30000000</v>
      </c>
      <c r="AC51" s="54"/>
      <c r="AD51" s="54"/>
      <c r="AE51" s="54">
        <f>+'[8]JULIO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3"/>
        <v>0</v>
      </c>
      <c r="AY51" s="24">
        <f t="shared" si="43"/>
        <v>0</v>
      </c>
      <c r="AZ51" s="24">
        <f t="shared" si="43"/>
        <v>0</v>
      </c>
      <c r="BA51" s="24">
        <f t="shared" si="43"/>
        <v>0</v>
      </c>
      <c r="BB51" s="24">
        <f t="shared" si="53"/>
        <v>0</v>
      </c>
      <c r="BC51" s="24">
        <f t="shared" si="53"/>
        <v>0</v>
      </c>
      <c r="BD51" s="24">
        <f t="shared" si="53"/>
        <v>0</v>
      </c>
      <c r="BE51" s="24">
        <f t="shared" si="53"/>
        <v>0</v>
      </c>
      <c r="BF51" s="24">
        <f t="shared" si="53"/>
        <v>0</v>
      </c>
      <c r="BG51" s="24">
        <f t="shared" si="60"/>
        <v>0</v>
      </c>
      <c r="BH51" s="24">
        <f t="shared" si="53"/>
        <v>0</v>
      </c>
      <c r="BI51" s="24">
        <f t="shared" si="53"/>
        <v>0</v>
      </c>
      <c r="BJ51" s="24">
        <f t="shared" si="53"/>
        <v>0</v>
      </c>
      <c r="BK51" s="54"/>
      <c r="BL51" s="24">
        <f t="shared" si="53"/>
        <v>0</v>
      </c>
      <c r="BM51" s="24">
        <f t="shared" si="53"/>
        <v>0</v>
      </c>
      <c r="BN51" s="24"/>
      <c r="BO51" s="54"/>
      <c r="BP51" s="24">
        <f t="shared" si="54"/>
        <v>0</v>
      </c>
      <c r="BQ51" s="54">
        <f t="shared" si="55"/>
        <v>0</v>
      </c>
      <c r="BR51" s="57">
        <f t="shared" si="10"/>
        <v>1</v>
      </c>
      <c r="BS51" s="24">
        <f t="shared" si="36"/>
        <v>30000000</v>
      </c>
      <c r="BT51" s="54"/>
      <c r="BU51" s="54"/>
      <c r="BV51" s="54">
        <f>+'[9]AGOSTO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37"/>
        <v>0</v>
      </c>
      <c r="CP51" s="24">
        <f t="shared" si="46"/>
        <v>0</v>
      </c>
      <c r="CQ51" s="24">
        <f t="shared" si="46"/>
        <v>0</v>
      </c>
      <c r="CR51" s="24">
        <f t="shared" si="46"/>
        <v>0</v>
      </c>
      <c r="CS51" s="24">
        <f t="shared" si="46"/>
        <v>0</v>
      </c>
      <c r="CT51" s="24">
        <f t="shared" si="46"/>
        <v>0</v>
      </c>
      <c r="CU51" s="24">
        <f t="shared" si="46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2"/>
        <v>0</v>
      </c>
      <c r="CZ51" s="24">
        <f t="shared" si="62"/>
        <v>0</v>
      </c>
      <c r="DA51" s="24">
        <f t="shared" si="62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1"/>
        <v>0</v>
      </c>
      <c r="DH51" s="24">
        <f>Z51-CM51</f>
        <v>0</v>
      </c>
    </row>
    <row r="52" spans="1:113" ht="36" customHeight="1" x14ac:dyDescent="0.25">
      <c r="A52" s="246"/>
      <c r="B52" s="239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1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0.96162207777777775</v>
      </c>
      <c r="AB52" s="24">
        <f t="shared" si="32"/>
        <v>86545987</v>
      </c>
      <c r="AC52" s="24"/>
      <c r="AD52" s="24"/>
      <c r="AE52" s="24">
        <f>+'[4]DICIEMBRE 2016'!$M$3163</f>
        <v>18177642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+'[4]DICIEMBRE 2016'!$Y$3163</f>
        <v>68368345</v>
      </c>
      <c r="AR52" s="24"/>
      <c r="AS52" s="24"/>
      <c r="AT52" s="24"/>
      <c r="AU52" s="24"/>
      <c r="AV52" s="24"/>
      <c r="AW52" s="25">
        <f t="shared" si="3"/>
        <v>3.8377922222222249E-2</v>
      </c>
      <c r="AX52" s="24">
        <f t="shared" si="33"/>
        <v>3454013</v>
      </c>
      <c r="AY52" s="24">
        <f t="shared" si="43"/>
        <v>0</v>
      </c>
      <c r="AZ52" s="24">
        <f t="shared" si="43"/>
        <v>3087149</v>
      </c>
      <c r="BA52" s="24">
        <f t="shared" si="43"/>
        <v>0</v>
      </c>
      <c r="BB52" s="24">
        <f t="shared" si="53"/>
        <v>0</v>
      </c>
      <c r="BC52" s="24">
        <f t="shared" si="53"/>
        <v>0</v>
      </c>
      <c r="BD52" s="24">
        <f t="shared" si="53"/>
        <v>0</v>
      </c>
      <c r="BE52" s="24">
        <f t="shared" si="53"/>
        <v>0</v>
      </c>
      <c r="BF52" s="24">
        <f t="shared" si="53"/>
        <v>0</v>
      </c>
      <c r="BG52" s="24">
        <f t="shared" si="60"/>
        <v>0</v>
      </c>
      <c r="BH52" s="24">
        <f t="shared" si="53"/>
        <v>0</v>
      </c>
      <c r="BI52" s="24">
        <f t="shared" si="53"/>
        <v>0</v>
      </c>
      <c r="BJ52" s="24">
        <f t="shared" si="53"/>
        <v>0</v>
      </c>
      <c r="BK52" s="24">
        <f>+T52-AP52</f>
        <v>0</v>
      </c>
      <c r="BL52" s="24">
        <f t="shared" si="53"/>
        <v>366864</v>
      </c>
      <c r="BM52" s="24">
        <f t="shared" si="53"/>
        <v>0</v>
      </c>
      <c r="BN52" s="24"/>
      <c r="BO52" s="24"/>
      <c r="BP52" s="24">
        <f t="shared" si="54"/>
        <v>0</v>
      </c>
      <c r="BQ52" s="24">
        <f t="shared" si="55"/>
        <v>0</v>
      </c>
      <c r="BR52" s="25">
        <f t="shared" si="10"/>
        <v>0.96162207777777775</v>
      </c>
      <c r="BS52" s="24">
        <f t="shared" si="36"/>
        <v>86545987</v>
      </c>
      <c r="BT52" s="24"/>
      <c r="BU52" s="24"/>
      <c r="BV52" s="24">
        <f>+'[4]DICIEMBRE 2016'!$M$3163</f>
        <v>18177642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+'[4]DICIEMBRE 2016'!$Y$3163</f>
        <v>68368345</v>
      </c>
      <c r="CI52" s="24"/>
      <c r="CJ52" s="24"/>
      <c r="CK52" s="24"/>
      <c r="CL52" s="24"/>
      <c r="CM52" s="24"/>
      <c r="CN52" s="25">
        <f t="shared" si="12"/>
        <v>3.8377922222222249E-2</v>
      </c>
      <c r="CO52" s="24">
        <f t="shared" si="37"/>
        <v>3454013</v>
      </c>
      <c r="CP52" s="24">
        <f t="shared" si="46"/>
        <v>0</v>
      </c>
      <c r="CQ52" s="24">
        <f t="shared" si="46"/>
        <v>3087149</v>
      </c>
      <c r="CR52" s="24">
        <f t="shared" si="46"/>
        <v>0</v>
      </c>
      <c r="CS52" s="24">
        <f t="shared" si="46"/>
        <v>0</v>
      </c>
      <c r="CT52" s="24">
        <f t="shared" si="46"/>
        <v>0</v>
      </c>
      <c r="CU52" s="24">
        <f t="shared" si="46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2"/>
        <v>0</v>
      </c>
      <c r="CZ52" s="24">
        <f t="shared" si="62"/>
        <v>0</v>
      </c>
      <c r="DA52" s="24">
        <f t="shared" si="62"/>
        <v>0</v>
      </c>
      <c r="DB52" s="24">
        <f>+T52-CG52</f>
        <v>0</v>
      </c>
      <c r="DC52" s="24">
        <f>+U52-CH52</f>
        <v>366864</v>
      </c>
      <c r="DD52" s="24">
        <f>+V52-CI52</f>
        <v>0</v>
      </c>
      <c r="DE52" s="24"/>
      <c r="DF52" s="24">
        <f>+X52-CK52</f>
        <v>0</v>
      </c>
      <c r="DG52" s="24">
        <f t="shared" si="61"/>
        <v>0</v>
      </c>
      <c r="DH52" s="24">
        <f>+Z52-CM52</f>
        <v>0</v>
      </c>
      <c r="DI52" s="43"/>
    </row>
    <row r="53" spans="1:113" ht="21.75" customHeight="1" x14ac:dyDescent="0.25">
      <c r="A53" s="246"/>
      <c r="B53" s="241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1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1</v>
      </c>
      <c r="AB53" s="24">
        <f t="shared" si="32"/>
        <v>5060373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+'[5]NOVIEMBRE 2016'!$AG$3040</f>
        <v>5060373</v>
      </c>
      <c r="AW53" s="25">
        <f t="shared" si="3"/>
        <v>0</v>
      </c>
      <c r="AX53" s="24">
        <f t="shared" si="33"/>
        <v>0</v>
      </c>
      <c r="AY53" s="24">
        <f t="shared" si="43"/>
        <v>0</v>
      </c>
      <c r="AZ53" s="24">
        <f t="shared" si="43"/>
        <v>0</v>
      </c>
      <c r="BA53" s="24">
        <f t="shared" si="43"/>
        <v>0</v>
      </c>
      <c r="BB53" s="24">
        <f t="shared" si="53"/>
        <v>0</v>
      </c>
      <c r="BC53" s="24">
        <f t="shared" si="53"/>
        <v>0</v>
      </c>
      <c r="BD53" s="24">
        <f t="shared" si="53"/>
        <v>0</v>
      </c>
      <c r="BE53" s="24">
        <f t="shared" si="53"/>
        <v>0</v>
      </c>
      <c r="BF53" s="24">
        <f t="shared" si="53"/>
        <v>0</v>
      </c>
      <c r="BG53" s="24">
        <f t="shared" si="60"/>
        <v>0</v>
      </c>
      <c r="BH53" s="24">
        <f t="shared" si="53"/>
        <v>0</v>
      </c>
      <c r="BI53" s="24">
        <f t="shared" si="53"/>
        <v>0</v>
      </c>
      <c r="BJ53" s="24">
        <f t="shared" si="53"/>
        <v>0</v>
      </c>
      <c r="BK53" s="24"/>
      <c r="BL53" s="24">
        <f t="shared" si="53"/>
        <v>0</v>
      </c>
      <c r="BM53" s="24">
        <f t="shared" si="53"/>
        <v>0</v>
      </c>
      <c r="BN53" s="24"/>
      <c r="BO53" s="24"/>
      <c r="BP53" s="24">
        <f t="shared" si="54"/>
        <v>0</v>
      </c>
      <c r="BQ53" s="24">
        <f t="shared" si="55"/>
        <v>0</v>
      </c>
      <c r="BR53" s="25">
        <f t="shared" si="10"/>
        <v>1</v>
      </c>
      <c r="BS53" s="24">
        <f t="shared" si="36"/>
        <v>5060373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+'[5]NOVIEMBRE 2016'!$H$3038</f>
        <v>5060373</v>
      </c>
      <c r="CN53" s="25">
        <f t="shared" si="12"/>
        <v>0</v>
      </c>
      <c r="CO53" s="24">
        <f t="shared" si="37"/>
        <v>0</v>
      </c>
      <c r="CP53" s="24">
        <f t="shared" si="46"/>
        <v>0</v>
      </c>
      <c r="CQ53" s="24">
        <f t="shared" si="46"/>
        <v>0</v>
      </c>
      <c r="CR53" s="24">
        <f t="shared" si="46"/>
        <v>0</v>
      </c>
      <c r="CS53" s="24">
        <f t="shared" si="46"/>
        <v>0</v>
      </c>
      <c r="CT53" s="24">
        <f t="shared" si="46"/>
        <v>0</v>
      </c>
      <c r="CU53" s="24">
        <f t="shared" si="46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2"/>
        <v>0</v>
      </c>
      <c r="CZ53" s="24">
        <f t="shared" si="62"/>
        <v>0</v>
      </c>
      <c r="DA53" s="24">
        <f t="shared" si="62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1"/>
        <v>0</v>
      </c>
      <c r="DH53" s="24">
        <f>Z53-CM53</f>
        <v>0</v>
      </c>
      <c r="DI53" s="43"/>
    </row>
    <row r="54" spans="1:113" ht="51.75" customHeight="1" x14ac:dyDescent="0.25">
      <c r="A54" s="246"/>
      <c r="B54" s="239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1"/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0.99857790476190478</v>
      </c>
      <c r="AB54" s="24">
        <f t="shared" si="32"/>
        <v>41940272</v>
      </c>
      <c r="AC54" s="24"/>
      <c r="AD54" s="24"/>
      <c r="AE54" s="24">
        <f>+'[2]DICIEMBRE 2016'!$M$3207</f>
        <v>29940272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+'[9]AGOSTO 2016'!$AG$2028</f>
        <v>12000000</v>
      </c>
      <c r="AW54" s="25">
        <f t="shared" si="3"/>
        <v>1.4220952380952223E-3</v>
      </c>
      <c r="AX54" s="24">
        <f t="shared" si="33"/>
        <v>59728</v>
      </c>
      <c r="AY54" s="24">
        <f t="shared" si="43"/>
        <v>0</v>
      </c>
      <c r="AZ54" s="24">
        <f t="shared" si="43"/>
        <v>59728</v>
      </c>
      <c r="BA54" s="24">
        <f t="shared" si="43"/>
        <v>0</v>
      </c>
      <c r="BB54" s="24">
        <f t="shared" si="53"/>
        <v>0</v>
      </c>
      <c r="BC54" s="24">
        <f t="shared" si="53"/>
        <v>0</v>
      </c>
      <c r="BD54" s="24">
        <f t="shared" si="53"/>
        <v>0</v>
      </c>
      <c r="BE54" s="24">
        <f t="shared" si="53"/>
        <v>0</v>
      </c>
      <c r="BF54" s="24">
        <f t="shared" si="53"/>
        <v>0</v>
      </c>
      <c r="BG54" s="24">
        <f t="shared" si="60"/>
        <v>0</v>
      </c>
      <c r="BH54" s="24">
        <f t="shared" si="53"/>
        <v>0</v>
      </c>
      <c r="BI54" s="24">
        <f t="shared" si="53"/>
        <v>0</v>
      </c>
      <c r="BJ54" s="24">
        <f t="shared" si="53"/>
        <v>0</v>
      </c>
      <c r="BK54" s="24">
        <f t="shared" si="53"/>
        <v>0</v>
      </c>
      <c r="BL54" s="24">
        <f t="shared" si="53"/>
        <v>0</v>
      </c>
      <c r="BM54" s="24">
        <f t="shared" si="53"/>
        <v>0</v>
      </c>
      <c r="BN54" s="24"/>
      <c r="BO54" s="24"/>
      <c r="BP54" s="24">
        <f t="shared" si="54"/>
        <v>0</v>
      </c>
      <c r="BQ54" s="24">
        <f t="shared" si="55"/>
        <v>0</v>
      </c>
      <c r="BR54" s="25">
        <f t="shared" si="10"/>
        <v>0.99857790476190478</v>
      </c>
      <c r="BS54" s="24">
        <f t="shared" si="36"/>
        <v>41940272</v>
      </c>
      <c r="BT54" s="24"/>
      <c r="BU54" s="24"/>
      <c r="BV54" s="24">
        <f>+'[10]SEPTIEMBRE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+'[10]SEPTIEMBRE 2016'!$H$2462+'[10]SEPTIEMBRE 2016'!$H$2464+'[10]SEPTIEMBRE 2016'!$H$2466+'[10]SEPTIEMBRE 2016'!$H$2407</f>
        <v>12000000</v>
      </c>
      <c r="CN54" s="25">
        <f t="shared" si="12"/>
        <v>1.4220952380952223E-3</v>
      </c>
      <c r="CO54" s="24">
        <f t="shared" si="37"/>
        <v>59728</v>
      </c>
      <c r="CP54" s="24">
        <f t="shared" si="46"/>
        <v>0</v>
      </c>
      <c r="CQ54" s="24">
        <f t="shared" si="46"/>
        <v>59728</v>
      </c>
      <c r="CR54" s="24">
        <f t="shared" si="46"/>
        <v>0</v>
      </c>
      <c r="CS54" s="24">
        <f t="shared" si="46"/>
        <v>0</v>
      </c>
      <c r="CT54" s="24">
        <f t="shared" si="46"/>
        <v>0</v>
      </c>
      <c r="CU54" s="24">
        <f t="shared" si="46"/>
        <v>0</v>
      </c>
      <c r="CV54" s="24">
        <f t="shared" ref="CV54:CW59" si="63">+N54-CA54</f>
        <v>0</v>
      </c>
      <c r="CW54" s="24">
        <f t="shared" si="63"/>
        <v>0</v>
      </c>
      <c r="CX54" s="24">
        <f t="shared" ref="CX54:CX59" si="64">P54-CC54</f>
        <v>0</v>
      </c>
      <c r="CY54" s="24">
        <f t="shared" si="62"/>
        <v>0</v>
      </c>
      <c r="CZ54" s="24">
        <f t="shared" si="62"/>
        <v>0</v>
      </c>
      <c r="DA54" s="24">
        <f t="shared" si="62"/>
        <v>0</v>
      </c>
      <c r="DB54" s="24">
        <f t="shared" ref="DB54:DD59" si="65">+T54-CG54</f>
        <v>0</v>
      </c>
      <c r="DC54" s="24">
        <f t="shared" si="65"/>
        <v>0</v>
      </c>
      <c r="DD54" s="24">
        <f t="shared" si="65"/>
        <v>0</v>
      </c>
      <c r="DE54" s="24"/>
      <c r="DF54" s="24">
        <f t="shared" ref="DF54:DF59" si="66">+X54-CK54</f>
        <v>0</v>
      </c>
      <c r="DG54" s="24">
        <f t="shared" si="61"/>
        <v>0</v>
      </c>
      <c r="DH54" s="24">
        <f t="shared" ref="DH54:DH59" si="67">+Z54-CM54</f>
        <v>0</v>
      </c>
    </row>
    <row r="55" spans="1:113" ht="37.5" customHeight="1" x14ac:dyDescent="0.25">
      <c r="A55" s="246"/>
      <c r="B55" s="240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1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0.9553836</v>
      </c>
      <c r="AB55" s="24">
        <f t="shared" si="32"/>
        <v>9553836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f>+'[2]DICIEMBRE 2016'!$Y$3272</f>
        <v>9553836</v>
      </c>
      <c r="AR55" s="24"/>
      <c r="AS55" s="24"/>
      <c r="AT55" s="24"/>
      <c r="AU55" s="24"/>
      <c r="AV55" s="24"/>
      <c r="AW55" s="25">
        <f t="shared" si="3"/>
        <v>4.4616400000000001E-2</v>
      </c>
      <c r="AX55" s="24">
        <f t="shared" si="33"/>
        <v>446164</v>
      </c>
      <c r="AY55" s="24">
        <f t="shared" si="43"/>
        <v>0</v>
      </c>
      <c r="AZ55" s="24">
        <f t="shared" si="43"/>
        <v>0</v>
      </c>
      <c r="BA55" s="24">
        <f t="shared" si="43"/>
        <v>0</v>
      </c>
      <c r="BB55" s="24">
        <f t="shared" ref="BB55:BF59" si="68">+K55-AG55</f>
        <v>0</v>
      </c>
      <c r="BC55" s="24">
        <f t="shared" si="68"/>
        <v>0</v>
      </c>
      <c r="BD55" s="24">
        <f t="shared" si="68"/>
        <v>0</v>
      </c>
      <c r="BE55" s="24">
        <f t="shared" si="68"/>
        <v>0</v>
      </c>
      <c r="BF55" s="24">
        <f t="shared" si="68"/>
        <v>0</v>
      </c>
      <c r="BG55" s="24">
        <f t="shared" si="60"/>
        <v>0</v>
      </c>
      <c r="BH55" s="24">
        <f t="shared" ref="BH55:BM59" si="69">+Q55-AM55</f>
        <v>0</v>
      </c>
      <c r="BI55" s="24">
        <f t="shared" si="69"/>
        <v>0</v>
      </c>
      <c r="BJ55" s="24">
        <f t="shared" si="69"/>
        <v>0</v>
      </c>
      <c r="BK55" s="24">
        <f t="shared" si="69"/>
        <v>0</v>
      </c>
      <c r="BL55" s="24">
        <f t="shared" si="69"/>
        <v>446164</v>
      </c>
      <c r="BM55" s="24">
        <f t="shared" si="69"/>
        <v>0</v>
      </c>
      <c r="BN55" s="24"/>
      <c r="BO55" s="24"/>
      <c r="BP55" s="24">
        <f t="shared" si="54"/>
        <v>0</v>
      </c>
      <c r="BQ55" s="24">
        <f t="shared" si="55"/>
        <v>0</v>
      </c>
      <c r="BR55" s="25">
        <f t="shared" si="10"/>
        <v>0.9553836</v>
      </c>
      <c r="BS55" s="24">
        <f t="shared" si="36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+'[6]FEBRERO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37"/>
        <v>446164</v>
      </c>
      <c r="CP55" s="24">
        <f t="shared" si="46"/>
        <v>0</v>
      </c>
      <c r="CQ55" s="24">
        <f t="shared" si="46"/>
        <v>0</v>
      </c>
      <c r="CR55" s="24">
        <f t="shared" si="46"/>
        <v>0</v>
      </c>
      <c r="CS55" s="24">
        <f t="shared" si="46"/>
        <v>0</v>
      </c>
      <c r="CT55" s="24">
        <f t="shared" si="46"/>
        <v>0</v>
      </c>
      <c r="CU55" s="24">
        <f t="shared" si="46"/>
        <v>0</v>
      </c>
      <c r="CV55" s="24">
        <f t="shared" si="63"/>
        <v>0</v>
      </c>
      <c r="CW55" s="24">
        <f t="shared" si="63"/>
        <v>0</v>
      </c>
      <c r="CX55" s="24">
        <f t="shared" si="64"/>
        <v>0</v>
      </c>
      <c r="CY55" s="24">
        <f t="shared" si="62"/>
        <v>0</v>
      </c>
      <c r="CZ55" s="24">
        <f t="shared" si="62"/>
        <v>0</v>
      </c>
      <c r="DA55" s="24">
        <f t="shared" si="62"/>
        <v>0</v>
      </c>
      <c r="DB55" s="24">
        <f t="shared" si="65"/>
        <v>0</v>
      </c>
      <c r="DC55" s="24">
        <f t="shared" si="65"/>
        <v>446164</v>
      </c>
      <c r="DD55" s="24">
        <f t="shared" si="65"/>
        <v>0</v>
      </c>
      <c r="DE55" s="24"/>
      <c r="DF55" s="24">
        <f t="shared" si="66"/>
        <v>0</v>
      </c>
      <c r="DG55" s="24">
        <f t="shared" si="61"/>
        <v>0</v>
      </c>
      <c r="DH55" s="24">
        <f t="shared" si="67"/>
        <v>0</v>
      </c>
    </row>
    <row r="56" spans="1:113" ht="32.25" customHeight="1" x14ac:dyDescent="0.25">
      <c r="A56" s="246"/>
      <c r="B56" s="240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1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0.99612520000000004</v>
      </c>
      <c r="AB56" s="24">
        <f t="shared" si="32"/>
        <v>29883756</v>
      </c>
      <c r="AC56" s="24"/>
      <c r="AD56" s="24"/>
      <c r="AE56" s="24">
        <f>+'[2]DICIEMBRE 2016'!$M$3281</f>
        <v>11715660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3.8747999999999561E-3</v>
      </c>
      <c r="AX56" s="24">
        <f t="shared" si="33"/>
        <v>116244</v>
      </c>
      <c r="AY56" s="24">
        <f t="shared" si="43"/>
        <v>0</v>
      </c>
      <c r="AZ56" s="24">
        <f t="shared" si="43"/>
        <v>116244</v>
      </c>
      <c r="BA56" s="24">
        <f t="shared" si="43"/>
        <v>0</v>
      </c>
      <c r="BB56" s="24">
        <f t="shared" si="68"/>
        <v>0</v>
      </c>
      <c r="BC56" s="24">
        <f t="shared" si="68"/>
        <v>0</v>
      </c>
      <c r="BD56" s="24">
        <f t="shared" si="68"/>
        <v>0</v>
      </c>
      <c r="BE56" s="24">
        <f t="shared" si="68"/>
        <v>0</v>
      </c>
      <c r="BF56" s="24">
        <f t="shared" si="68"/>
        <v>0</v>
      </c>
      <c r="BG56" s="24">
        <f t="shared" si="60"/>
        <v>0</v>
      </c>
      <c r="BH56" s="24">
        <f t="shared" si="69"/>
        <v>0</v>
      </c>
      <c r="BI56" s="24">
        <f t="shared" si="69"/>
        <v>0</v>
      </c>
      <c r="BJ56" s="24">
        <f t="shared" si="69"/>
        <v>0</v>
      </c>
      <c r="BK56" s="24">
        <f t="shared" si="69"/>
        <v>0</v>
      </c>
      <c r="BL56" s="24">
        <f t="shared" si="69"/>
        <v>0</v>
      </c>
      <c r="BM56" s="24">
        <f t="shared" si="69"/>
        <v>0</v>
      </c>
      <c r="BN56" s="24"/>
      <c r="BO56" s="24"/>
      <c r="BP56" s="24">
        <f t="shared" si="54"/>
        <v>0</v>
      </c>
      <c r="BQ56" s="24">
        <f t="shared" si="55"/>
        <v>0</v>
      </c>
      <c r="BR56" s="25">
        <f t="shared" si="10"/>
        <v>0.99612520000000004</v>
      </c>
      <c r="BS56" s="24">
        <f t="shared" si="36"/>
        <v>29883756</v>
      </c>
      <c r="BT56" s="24"/>
      <c r="BU56" s="24"/>
      <c r="BV56" s="24">
        <f>+'[10]SEPTIEMBRE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+'[6]FEBRERO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37"/>
        <v>116244</v>
      </c>
      <c r="CP56" s="24">
        <f t="shared" si="46"/>
        <v>0</v>
      </c>
      <c r="CQ56" s="24">
        <f t="shared" si="46"/>
        <v>116244</v>
      </c>
      <c r="CR56" s="24">
        <f t="shared" si="46"/>
        <v>0</v>
      </c>
      <c r="CS56" s="24">
        <f t="shared" si="46"/>
        <v>0</v>
      </c>
      <c r="CT56" s="24">
        <f t="shared" si="46"/>
        <v>0</v>
      </c>
      <c r="CU56" s="24">
        <f t="shared" si="46"/>
        <v>0</v>
      </c>
      <c r="CV56" s="24">
        <f t="shared" si="63"/>
        <v>0</v>
      </c>
      <c r="CW56" s="24">
        <f t="shared" si="63"/>
        <v>0</v>
      </c>
      <c r="CX56" s="24">
        <f t="shared" si="64"/>
        <v>0</v>
      </c>
      <c r="CY56" s="24">
        <f t="shared" si="62"/>
        <v>0</v>
      </c>
      <c r="CZ56" s="24">
        <f t="shared" si="62"/>
        <v>0</v>
      </c>
      <c r="DA56" s="24">
        <f t="shared" si="62"/>
        <v>0</v>
      </c>
      <c r="DB56" s="24">
        <f t="shared" si="65"/>
        <v>0</v>
      </c>
      <c r="DC56" s="24">
        <f t="shared" si="65"/>
        <v>0</v>
      </c>
      <c r="DD56" s="24">
        <f t="shared" si="65"/>
        <v>0</v>
      </c>
      <c r="DE56" s="24"/>
      <c r="DF56" s="24">
        <f t="shared" si="66"/>
        <v>0</v>
      </c>
      <c r="DG56" s="24">
        <f t="shared" si="61"/>
        <v>0</v>
      </c>
      <c r="DH56" s="24">
        <f t="shared" si="67"/>
        <v>0</v>
      </c>
    </row>
    <row r="57" spans="1:113" ht="23.25" customHeight="1" x14ac:dyDescent="0.25">
      <c r="A57" s="246"/>
      <c r="B57" s="240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1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2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+'[3]ENERO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3"/>
        <v>0</v>
      </c>
      <c r="AY57" s="24">
        <f t="shared" si="43"/>
        <v>0</v>
      </c>
      <c r="AZ57" s="24">
        <f t="shared" si="43"/>
        <v>0</v>
      </c>
      <c r="BA57" s="24">
        <f t="shared" si="43"/>
        <v>0</v>
      </c>
      <c r="BB57" s="24">
        <f t="shared" si="68"/>
        <v>0</v>
      </c>
      <c r="BC57" s="24">
        <f t="shared" si="68"/>
        <v>0</v>
      </c>
      <c r="BD57" s="24">
        <f t="shared" si="68"/>
        <v>0</v>
      </c>
      <c r="BE57" s="24">
        <f t="shared" si="68"/>
        <v>0</v>
      </c>
      <c r="BF57" s="24">
        <f t="shared" si="68"/>
        <v>0</v>
      </c>
      <c r="BG57" s="24">
        <f t="shared" si="60"/>
        <v>0</v>
      </c>
      <c r="BH57" s="24">
        <f t="shared" si="69"/>
        <v>0</v>
      </c>
      <c r="BI57" s="24">
        <f t="shared" si="69"/>
        <v>0</v>
      </c>
      <c r="BJ57" s="24">
        <f t="shared" si="69"/>
        <v>0</v>
      </c>
      <c r="BK57" s="24">
        <f t="shared" si="69"/>
        <v>0</v>
      </c>
      <c r="BL57" s="24">
        <f t="shared" si="69"/>
        <v>0</v>
      </c>
      <c r="BM57" s="24">
        <f t="shared" si="69"/>
        <v>0</v>
      </c>
      <c r="BN57" s="24"/>
      <c r="BO57" s="24"/>
      <c r="BP57" s="24">
        <f t="shared" si="54"/>
        <v>0</v>
      </c>
      <c r="BQ57" s="24">
        <f t="shared" si="55"/>
        <v>0</v>
      </c>
      <c r="BR57" s="25">
        <f t="shared" si="10"/>
        <v>1</v>
      </c>
      <c r="BS57" s="24">
        <f t="shared" si="36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37"/>
        <v>0</v>
      </c>
      <c r="CP57" s="24">
        <f t="shared" si="46"/>
        <v>0</v>
      </c>
      <c r="CQ57" s="24">
        <f t="shared" si="46"/>
        <v>0</v>
      </c>
      <c r="CR57" s="24">
        <f t="shared" si="46"/>
        <v>0</v>
      </c>
      <c r="CS57" s="24">
        <f t="shared" si="46"/>
        <v>0</v>
      </c>
      <c r="CT57" s="24">
        <f t="shared" si="46"/>
        <v>0</v>
      </c>
      <c r="CU57" s="24">
        <f t="shared" si="46"/>
        <v>0</v>
      </c>
      <c r="CV57" s="24">
        <f t="shared" si="63"/>
        <v>0</v>
      </c>
      <c r="CW57" s="24">
        <f t="shared" si="63"/>
        <v>0</v>
      </c>
      <c r="CX57" s="24">
        <f t="shared" si="64"/>
        <v>0</v>
      </c>
      <c r="CY57" s="24">
        <f t="shared" si="62"/>
        <v>0</v>
      </c>
      <c r="CZ57" s="24">
        <f t="shared" si="62"/>
        <v>0</v>
      </c>
      <c r="DA57" s="24">
        <f t="shared" si="62"/>
        <v>0</v>
      </c>
      <c r="DB57" s="24">
        <f t="shared" si="65"/>
        <v>0</v>
      </c>
      <c r="DC57" s="24">
        <f t="shared" si="65"/>
        <v>0</v>
      </c>
      <c r="DD57" s="24">
        <f t="shared" si="65"/>
        <v>0</v>
      </c>
      <c r="DE57" s="24"/>
      <c r="DF57" s="24">
        <f t="shared" si="66"/>
        <v>0</v>
      </c>
      <c r="DG57" s="24">
        <f t="shared" si="61"/>
        <v>0</v>
      </c>
      <c r="DH57" s="24">
        <f t="shared" si="67"/>
        <v>0</v>
      </c>
    </row>
    <row r="58" spans="1:113" ht="35.25" customHeight="1" x14ac:dyDescent="0.25">
      <c r="A58" s="246"/>
      <c r="B58" s="240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1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0.4457138519417605</v>
      </c>
      <c r="AB58" s="24">
        <f t="shared" si="32"/>
        <v>100750687</v>
      </c>
      <c r="AC58" s="24"/>
      <c r="AD58" s="24"/>
      <c r="AE58" s="24">
        <f>+'[2]DICIEMBRE 2016'!$M$3359</f>
        <v>22732510</v>
      </c>
      <c r="AF58" s="24"/>
      <c r="AG58" s="24"/>
      <c r="AH58" s="24">
        <f>+'[2]DICIEMBRE 2016'!$P$3359</f>
        <v>62566149</v>
      </c>
      <c r="AI58" s="24"/>
      <c r="AJ58" s="24"/>
      <c r="AK58" s="24"/>
      <c r="AL58" s="24"/>
      <c r="AM58" s="24"/>
      <c r="AN58" s="24"/>
      <c r="AO58" s="24"/>
      <c r="AP58" s="24"/>
      <c r="AQ58" s="24">
        <f>+'[2]DICIEMBRE 2016'!$Y$3359</f>
        <v>15452028</v>
      </c>
      <c r="AR58" s="24"/>
      <c r="AS58" s="24"/>
      <c r="AT58" s="24"/>
      <c r="AU58" s="24"/>
      <c r="AV58" s="24"/>
      <c r="AW58" s="25">
        <f t="shared" si="3"/>
        <v>0.5542861480582395</v>
      </c>
      <c r="AX58" s="24">
        <f t="shared" si="33"/>
        <v>125292741</v>
      </c>
      <c r="AY58" s="24">
        <f t="shared" si="43"/>
        <v>0</v>
      </c>
      <c r="AZ58" s="24">
        <f t="shared" si="43"/>
        <v>108942328</v>
      </c>
      <c r="BA58" s="24">
        <f t="shared" si="43"/>
        <v>0</v>
      </c>
      <c r="BB58" s="24">
        <f t="shared" si="68"/>
        <v>0</v>
      </c>
      <c r="BC58" s="24">
        <f t="shared" si="68"/>
        <v>11802441</v>
      </c>
      <c r="BD58" s="24">
        <f t="shared" si="68"/>
        <v>0</v>
      </c>
      <c r="BE58" s="24">
        <f t="shared" si="68"/>
        <v>0</v>
      </c>
      <c r="BF58" s="24">
        <f t="shared" si="68"/>
        <v>0</v>
      </c>
      <c r="BG58" s="24">
        <f t="shared" si="60"/>
        <v>0</v>
      </c>
      <c r="BH58" s="24">
        <f t="shared" si="69"/>
        <v>0</v>
      </c>
      <c r="BI58" s="24">
        <f t="shared" si="69"/>
        <v>0</v>
      </c>
      <c r="BJ58" s="24">
        <f t="shared" si="69"/>
        <v>0</v>
      </c>
      <c r="BK58" s="24">
        <f t="shared" si="69"/>
        <v>0</v>
      </c>
      <c r="BL58" s="24">
        <f t="shared" si="69"/>
        <v>4547972</v>
      </c>
      <c r="BM58" s="24">
        <f t="shared" si="69"/>
        <v>0</v>
      </c>
      <c r="BN58" s="24"/>
      <c r="BO58" s="24"/>
      <c r="BP58" s="24">
        <f t="shared" si="54"/>
        <v>0</v>
      </c>
      <c r="BQ58" s="24">
        <f t="shared" si="55"/>
        <v>0</v>
      </c>
      <c r="BR58" s="25">
        <f t="shared" si="10"/>
        <v>0.4457138519417605</v>
      </c>
      <c r="BS58" s="24">
        <f t="shared" si="36"/>
        <v>100750687</v>
      </c>
      <c r="BT58" s="24"/>
      <c r="BU58" s="24"/>
      <c r="BV58" s="24">
        <f>+'[4]DICIEMBRE 2016'!$M$3361</f>
        <v>22732510</v>
      </c>
      <c r="BW58" s="24"/>
      <c r="BX58" s="24"/>
      <c r="BY58" s="24">
        <f>+'[4]DICIEMBRE 2016'!$P$3361</f>
        <v>62566149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0.5542861480582395</v>
      </c>
      <c r="CO58" s="24">
        <f t="shared" si="37"/>
        <v>125292741</v>
      </c>
      <c r="CP58" s="24">
        <f t="shared" si="46"/>
        <v>0</v>
      </c>
      <c r="CQ58" s="24">
        <f t="shared" si="46"/>
        <v>108942328</v>
      </c>
      <c r="CR58" s="24">
        <f t="shared" si="46"/>
        <v>0</v>
      </c>
      <c r="CS58" s="24">
        <f t="shared" si="46"/>
        <v>0</v>
      </c>
      <c r="CT58" s="24">
        <f t="shared" si="46"/>
        <v>11802441</v>
      </c>
      <c r="CU58" s="24">
        <f t="shared" si="46"/>
        <v>0</v>
      </c>
      <c r="CV58" s="24">
        <f t="shared" si="63"/>
        <v>0</v>
      </c>
      <c r="CW58" s="24">
        <f t="shared" si="63"/>
        <v>0</v>
      </c>
      <c r="CX58" s="24">
        <f t="shared" si="64"/>
        <v>0</v>
      </c>
      <c r="CY58" s="24">
        <f t="shared" si="62"/>
        <v>0</v>
      </c>
      <c r="CZ58" s="24">
        <f t="shared" si="62"/>
        <v>0</v>
      </c>
      <c r="DA58" s="24">
        <f t="shared" si="62"/>
        <v>0</v>
      </c>
      <c r="DB58" s="24">
        <f t="shared" si="65"/>
        <v>0</v>
      </c>
      <c r="DC58" s="24">
        <f t="shared" si="65"/>
        <v>4547972</v>
      </c>
      <c r="DD58" s="24">
        <f t="shared" si="65"/>
        <v>0</v>
      </c>
      <c r="DE58" s="24"/>
      <c r="DF58" s="24">
        <f t="shared" si="66"/>
        <v>0</v>
      </c>
      <c r="DG58" s="24">
        <f t="shared" si="61"/>
        <v>0</v>
      </c>
      <c r="DH58" s="24">
        <f t="shared" si="67"/>
        <v>0</v>
      </c>
    </row>
    <row r="59" spans="1:113" ht="34.5" customHeight="1" x14ac:dyDescent="0.25">
      <c r="A59" s="247"/>
      <c r="B59" s="241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1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2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+'[12]MARZO 2016 ULTIMO'!$AF$846</f>
        <v>16000000</v>
      </c>
      <c r="AW59" s="25">
        <f t="shared" si="3"/>
        <v>0</v>
      </c>
      <c r="AX59" s="24">
        <f t="shared" si="33"/>
        <v>0</v>
      </c>
      <c r="AY59" s="24">
        <f t="shared" si="43"/>
        <v>0</v>
      </c>
      <c r="AZ59" s="24">
        <f t="shared" si="43"/>
        <v>0</v>
      </c>
      <c r="BA59" s="24">
        <f t="shared" si="43"/>
        <v>0</v>
      </c>
      <c r="BB59" s="24">
        <f t="shared" si="68"/>
        <v>0</v>
      </c>
      <c r="BC59" s="24">
        <f t="shared" si="68"/>
        <v>0</v>
      </c>
      <c r="BD59" s="24">
        <f t="shared" si="68"/>
        <v>0</v>
      </c>
      <c r="BE59" s="24">
        <f t="shared" si="68"/>
        <v>0</v>
      </c>
      <c r="BF59" s="24">
        <f t="shared" si="68"/>
        <v>0</v>
      </c>
      <c r="BG59" s="24">
        <f t="shared" si="60"/>
        <v>0</v>
      </c>
      <c r="BH59" s="24">
        <f t="shared" si="69"/>
        <v>0</v>
      </c>
      <c r="BI59" s="24">
        <f t="shared" si="69"/>
        <v>0</v>
      </c>
      <c r="BJ59" s="24">
        <f t="shared" si="69"/>
        <v>0</v>
      </c>
      <c r="BK59" s="24">
        <f t="shared" si="69"/>
        <v>0</v>
      </c>
      <c r="BL59" s="24">
        <f t="shared" si="69"/>
        <v>0</v>
      </c>
      <c r="BM59" s="24">
        <f t="shared" si="69"/>
        <v>0</v>
      </c>
      <c r="BN59" s="24"/>
      <c r="BO59" s="24"/>
      <c r="BP59" s="24">
        <f t="shared" si="54"/>
        <v>0</v>
      </c>
      <c r="BQ59" s="24">
        <f t="shared" si="55"/>
        <v>0</v>
      </c>
      <c r="BR59" s="25">
        <f t="shared" si="10"/>
        <v>1</v>
      </c>
      <c r="BS59" s="24">
        <f t="shared" si="36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37"/>
        <v>0</v>
      </c>
      <c r="CP59" s="24">
        <f t="shared" si="46"/>
        <v>0</v>
      </c>
      <c r="CQ59" s="24">
        <f t="shared" si="46"/>
        <v>0</v>
      </c>
      <c r="CR59" s="24">
        <f t="shared" si="46"/>
        <v>0</v>
      </c>
      <c r="CS59" s="24">
        <f t="shared" si="46"/>
        <v>0</v>
      </c>
      <c r="CT59" s="24">
        <f t="shared" si="46"/>
        <v>0</v>
      </c>
      <c r="CU59" s="24">
        <f t="shared" si="46"/>
        <v>0</v>
      </c>
      <c r="CV59" s="24">
        <f t="shared" si="63"/>
        <v>0</v>
      </c>
      <c r="CW59" s="24">
        <f t="shared" si="63"/>
        <v>0</v>
      </c>
      <c r="CX59" s="24">
        <f t="shared" si="64"/>
        <v>0</v>
      </c>
      <c r="CY59" s="24">
        <f t="shared" si="62"/>
        <v>0</v>
      </c>
      <c r="CZ59" s="24">
        <f t="shared" si="62"/>
        <v>0</v>
      </c>
      <c r="DA59" s="24">
        <f t="shared" si="62"/>
        <v>0</v>
      </c>
      <c r="DB59" s="24">
        <f t="shared" si="65"/>
        <v>0</v>
      </c>
      <c r="DC59" s="24">
        <f t="shared" si="65"/>
        <v>0</v>
      </c>
      <c r="DD59" s="24">
        <f t="shared" si="65"/>
        <v>0</v>
      </c>
      <c r="DE59" s="24"/>
      <c r="DF59" s="24">
        <f t="shared" si="66"/>
        <v>0</v>
      </c>
      <c r="DG59" s="24">
        <f t="shared" si="61"/>
        <v>0</v>
      </c>
      <c r="DH59" s="24">
        <f t="shared" si="67"/>
        <v>0</v>
      </c>
    </row>
    <row r="60" spans="1:113" s="43" customFormat="1" ht="18" customHeight="1" thickBot="1" x14ac:dyDescent="0.3">
      <c r="A60" s="59"/>
      <c r="B60" s="248" t="s">
        <v>182</v>
      </c>
      <c r="C60" s="248"/>
      <c r="D60" s="248"/>
      <c r="E60" s="248"/>
      <c r="F60" s="60"/>
      <c r="G60" s="61">
        <f t="shared" ref="G60:Z60" si="70">SUM(G21:G59)</f>
        <v>6304612321</v>
      </c>
      <c r="H60" s="61">
        <f t="shared" si="70"/>
        <v>0</v>
      </c>
      <c r="I60" s="61">
        <f t="shared" si="70"/>
        <v>2263096695</v>
      </c>
      <c r="J60" s="61">
        <f t="shared" si="70"/>
        <v>0</v>
      </c>
      <c r="K60" s="61">
        <f t="shared" si="70"/>
        <v>0</v>
      </c>
      <c r="L60" s="61">
        <f t="shared" si="70"/>
        <v>74368590</v>
      </c>
      <c r="M60" s="61">
        <f t="shared" si="70"/>
        <v>0</v>
      </c>
      <c r="N60" s="61">
        <f t="shared" si="70"/>
        <v>0</v>
      </c>
      <c r="O60" s="61">
        <f t="shared" si="70"/>
        <v>0</v>
      </c>
      <c r="P60" s="61">
        <f t="shared" si="70"/>
        <v>0</v>
      </c>
      <c r="Q60" s="61">
        <f t="shared" si="70"/>
        <v>0</v>
      </c>
      <c r="R60" s="61">
        <f t="shared" si="70"/>
        <v>2107644065</v>
      </c>
      <c r="S60" s="61">
        <f t="shared" si="70"/>
        <v>387696735</v>
      </c>
      <c r="T60" s="61">
        <f t="shared" si="70"/>
        <v>0</v>
      </c>
      <c r="U60" s="61">
        <f t="shared" si="70"/>
        <v>1054833768</v>
      </c>
      <c r="V60" s="61">
        <f t="shared" si="70"/>
        <v>0</v>
      </c>
      <c r="W60" s="61">
        <f t="shared" si="70"/>
        <v>101970259</v>
      </c>
      <c r="X60" s="61">
        <f t="shared" si="70"/>
        <v>0</v>
      </c>
      <c r="Y60" s="61">
        <f t="shared" si="70"/>
        <v>204741836</v>
      </c>
      <c r="Z60" s="61">
        <f t="shared" si="70"/>
        <v>110260373</v>
      </c>
      <c r="AA60" s="159">
        <f t="shared" si="1"/>
        <v>0.86761253658375426</v>
      </c>
      <c r="AB60" s="61">
        <f>SUM(AB21:AB59)</f>
        <v>5469960688</v>
      </c>
      <c r="AC60" s="61"/>
      <c r="AD60" s="61">
        <f t="shared" ref="AD60:AV60" si="71">SUM(AD21:AD59)</f>
        <v>0</v>
      </c>
      <c r="AE60" s="61">
        <f t="shared" si="71"/>
        <v>2041432876</v>
      </c>
      <c r="AF60" s="61">
        <f t="shared" si="71"/>
        <v>0</v>
      </c>
      <c r="AG60" s="61">
        <f t="shared" si="71"/>
        <v>0</v>
      </c>
      <c r="AH60" s="61">
        <f t="shared" si="71"/>
        <v>62566149</v>
      </c>
      <c r="AI60" s="61">
        <f t="shared" si="71"/>
        <v>0</v>
      </c>
      <c r="AJ60" s="61">
        <f t="shared" si="71"/>
        <v>0</v>
      </c>
      <c r="AK60" s="61">
        <f t="shared" si="71"/>
        <v>0</v>
      </c>
      <c r="AL60" s="61">
        <f t="shared" si="71"/>
        <v>0</v>
      </c>
      <c r="AM60" s="61">
        <f t="shared" si="71"/>
        <v>0</v>
      </c>
      <c r="AN60" s="61">
        <f t="shared" si="71"/>
        <v>1702567793</v>
      </c>
      <c r="AO60" s="61">
        <f t="shared" si="71"/>
        <v>385950453</v>
      </c>
      <c r="AP60" s="61">
        <f t="shared" si="71"/>
        <v>0</v>
      </c>
      <c r="AQ60" s="61">
        <f t="shared" si="71"/>
        <v>988088149</v>
      </c>
      <c r="AR60" s="61">
        <f t="shared" si="71"/>
        <v>0</v>
      </c>
      <c r="AS60" s="61">
        <f t="shared" si="71"/>
        <v>85302101</v>
      </c>
      <c r="AT60" s="61">
        <f t="shared" si="71"/>
        <v>0</v>
      </c>
      <c r="AU60" s="61">
        <f t="shared" si="71"/>
        <v>111779461</v>
      </c>
      <c r="AV60" s="61">
        <f t="shared" si="71"/>
        <v>92273706</v>
      </c>
      <c r="AW60" s="159">
        <f t="shared" si="3"/>
        <v>0.13238746341624574</v>
      </c>
      <c r="AX60" s="61">
        <f t="shared" ref="AX60:BQ60" si="72">SUM(AX21:AX59)</f>
        <v>834651633</v>
      </c>
      <c r="AY60" s="61">
        <f t="shared" si="72"/>
        <v>0</v>
      </c>
      <c r="AZ60" s="61">
        <f t="shared" si="72"/>
        <v>221663819</v>
      </c>
      <c r="BA60" s="61">
        <f t="shared" si="72"/>
        <v>0</v>
      </c>
      <c r="BB60" s="61">
        <f t="shared" si="72"/>
        <v>0</v>
      </c>
      <c r="BC60" s="61">
        <f t="shared" si="72"/>
        <v>11802441</v>
      </c>
      <c r="BD60" s="61">
        <f t="shared" si="72"/>
        <v>0</v>
      </c>
      <c r="BE60" s="61">
        <f t="shared" si="72"/>
        <v>0</v>
      </c>
      <c r="BF60" s="61">
        <f t="shared" si="72"/>
        <v>0</v>
      </c>
      <c r="BG60" s="61">
        <f t="shared" si="72"/>
        <v>0</v>
      </c>
      <c r="BH60" s="61">
        <f t="shared" si="72"/>
        <v>0</v>
      </c>
      <c r="BI60" s="61">
        <f t="shared" si="72"/>
        <v>405076272</v>
      </c>
      <c r="BJ60" s="61">
        <f t="shared" si="72"/>
        <v>1746282</v>
      </c>
      <c r="BK60" s="61">
        <f t="shared" si="72"/>
        <v>0</v>
      </c>
      <c r="BL60" s="61">
        <f t="shared" si="72"/>
        <v>66745619</v>
      </c>
      <c r="BM60" s="61">
        <f t="shared" si="72"/>
        <v>0</v>
      </c>
      <c r="BN60" s="61">
        <f t="shared" si="72"/>
        <v>16668158</v>
      </c>
      <c r="BO60" s="61">
        <f t="shared" si="72"/>
        <v>0</v>
      </c>
      <c r="BP60" s="61">
        <f t="shared" si="72"/>
        <v>92962375</v>
      </c>
      <c r="BQ60" s="61">
        <f t="shared" si="72"/>
        <v>17986667</v>
      </c>
      <c r="BR60" s="160">
        <f t="shared" si="10"/>
        <v>0.86761253658375426</v>
      </c>
      <c r="BS60" s="61">
        <f t="shared" ref="BS60:DH60" si="73">SUM(BS21:BS59)</f>
        <v>5469960688</v>
      </c>
      <c r="BT60" s="61">
        <f t="shared" si="73"/>
        <v>0</v>
      </c>
      <c r="BU60" s="61">
        <f t="shared" si="73"/>
        <v>0</v>
      </c>
      <c r="BV60" s="61">
        <f t="shared" si="73"/>
        <v>2041432876</v>
      </c>
      <c r="BW60" s="61">
        <f t="shared" si="73"/>
        <v>0</v>
      </c>
      <c r="BX60" s="61">
        <f t="shared" si="73"/>
        <v>0</v>
      </c>
      <c r="BY60" s="61">
        <f t="shared" si="73"/>
        <v>62566149</v>
      </c>
      <c r="BZ60" s="61">
        <f t="shared" si="73"/>
        <v>0</v>
      </c>
      <c r="CA60" s="61">
        <f t="shared" si="73"/>
        <v>0</v>
      </c>
      <c r="CB60" s="61">
        <f t="shared" si="73"/>
        <v>0</v>
      </c>
      <c r="CC60" s="61">
        <f t="shared" si="73"/>
        <v>0</v>
      </c>
      <c r="CD60" s="61">
        <f t="shared" si="73"/>
        <v>0</v>
      </c>
      <c r="CE60" s="61">
        <f t="shared" si="73"/>
        <v>1702567793</v>
      </c>
      <c r="CF60" s="61">
        <f t="shared" si="73"/>
        <v>385950453</v>
      </c>
      <c r="CG60" s="61">
        <f t="shared" si="73"/>
        <v>0</v>
      </c>
      <c r="CH60" s="61">
        <f t="shared" si="73"/>
        <v>988088149</v>
      </c>
      <c r="CI60" s="61">
        <f t="shared" si="73"/>
        <v>0</v>
      </c>
      <c r="CJ60" s="61">
        <f t="shared" si="73"/>
        <v>85302101</v>
      </c>
      <c r="CK60" s="61">
        <f t="shared" si="73"/>
        <v>0</v>
      </c>
      <c r="CL60" s="61">
        <f t="shared" si="73"/>
        <v>111779461</v>
      </c>
      <c r="CM60" s="61">
        <f t="shared" si="73"/>
        <v>92273706</v>
      </c>
      <c r="CN60" s="159">
        <f t="shared" si="12"/>
        <v>0.13238746341624574</v>
      </c>
      <c r="CO60" s="61">
        <f t="shared" si="73"/>
        <v>834651633</v>
      </c>
      <c r="CP60" s="61">
        <f t="shared" si="73"/>
        <v>0</v>
      </c>
      <c r="CQ60" s="61">
        <f t="shared" si="73"/>
        <v>221663819</v>
      </c>
      <c r="CR60" s="61">
        <f t="shared" si="73"/>
        <v>0</v>
      </c>
      <c r="CS60" s="61">
        <f t="shared" si="73"/>
        <v>0</v>
      </c>
      <c r="CT60" s="61">
        <f t="shared" si="73"/>
        <v>11802441</v>
      </c>
      <c r="CU60" s="61">
        <f t="shared" si="73"/>
        <v>0</v>
      </c>
      <c r="CV60" s="61">
        <f t="shared" si="73"/>
        <v>0</v>
      </c>
      <c r="CW60" s="61">
        <f t="shared" si="73"/>
        <v>0</v>
      </c>
      <c r="CX60" s="61">
        <f t="shared" si="73"/>
        <v>0</v>
      </c>
      <c r="CY60" s="61">
        <f t="shared" si="73"/>
        <v>0</v>
      </c>
      <c r="CZ60" s="61">
        <f t="shared" si="73"/>
        <v>405076272</v>
      </c>
      <c r="DA60" s="61">
        <f t="shared" si="73"/>
        <v>1746282</v>
      </c>
      <c r="DB60" s="61">
        <f t="shared" si="73"/>
        <v>0</v>
      </c>
      <c r="DC60" s="61">
        <f t="shared" si="73"/>
        <v>66745619</v>
      </c>
      <c r="DD60" s="61">
        <f t="shared" si="73"/>
        <v>0</v>
      </c>
      <c r="DE60" s="61">
        <f t="shared" si="73"/>
        <v>16668158</v>
      </c>
      <c r="DF60" s="61">
        <f t="shared" si="73"/>
        <v>0</v>
      </c>
      <c r="DG60" s="61">
        <f t="shared" si="73"/>
        <v>92962375</v>
      </c>
      <c r="DH60" s="62">
        <f t="shared" si="73"/>
        <v>17986667</v>
      </c>
    </row>
    <row r="61" spans="1:113" ht="63" customHeight="1" thickTop="1" x14ac:dyDescent="0.25">
      <c r="A61" s="236" t="s">
        <v>183</v>
      </c>
      <c r="B61" s="239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4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48">
        <f t="shared" si="1"/>
        <v>0.98836267215799767</v>
      </c>
      <c r="AB61" s="24">
        <f>SUM(AC61:AV61)</f>
        <v>115893703</v>
      </c>
      <c r="AC61" s="24"/>
      <c r="AD61" s="24"/>
      <c r="AE61" s="24"/>
      <c r="AF61" s="24"/>
      <c r="AG61" s="24"/>
      <c r="AH61" s="24">
        <f>+'[2]DICIEMBRE 2016'!$P$3941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+'[2]DICIEMBRE 2016'!$AG$3941</f>
        <v>66095978</v>
      </c>
      <c r="AW61" s="48">
        <f t="shared" si="3"/>
        <v>1.1637327842002332E-2</v>
      </c>
      <c r="AX61" s="24">
        <f t="shared" ref="AX61:AX92" si="75">SUM(AY61:BQ61)</f>
        <v>1364573</v>
      </c>
      <c r="AY61" s="24">
        <f t="shared" ref="AY61:BM92" si="76">H61-AD61</f>
        <v>0</v>
      </c>
      <c r="AZ61" s="24">
        <f t="shared" si="76"/>
        <v>0</v>
      </c>
      <c r="BA61" s="24">
        <f t="shared" si="76"/>
        <v>0</v>
      </c>
      <c r="BB61" s="24">
        <f t="shared" ref="BB61:BM70" si="77">+K61-AG61</f>
        <v>0</v>
      </c>
      <c r="BC61" s="24">
        <f t="shared" si="77"/>
        <v>202275</v>
      </c>
      <c r="BD61" s="24">
        <f t="shared" si="77"/>
        <v>0</v>
      </c>
      <c r="BE61" s="24">
        <f t="shared" si="77"/>
        <v>0</v>
      </c>
      <c r="BF61" s="24">
        <f t="shared" si="77"/>
        <v>0</v>
      </c>
      <c r="BG61" s="24">
        <f t="shared" si="77"/>
        <v>0</v>
      </c>
      <c r="BH61" s="24">
        <f t="shared" si="77"/>
        <v>0</v>
      </c>
      <c r="BI61" s="24">
        <f t="shared" si="77"/>
        <v>0</v>
      </c>
      <c r="BJ61" s="24">
        <f t="shared" si="77"/>
        <v>0</v>
      </c>
      <c r="BK61" s="24">
        <f t="shared" si="77"/>
        <v>0</v>
      </c>
      <c r="BL61" s="24">
        <f t="shared" si="77"/>
        <v>0</v>
      </c>
      <c r="BM61" s="24">
        <f t="shared" si="77"/>
        <v>0</v>
      </c>
      <c r="BN61" s="24"/>
      <c r="BO61" s="24"/>
      <c r="BP61" s="24">
        <f t="shared" ref="BP61:BP92" si="78">Y61-AU61</f>
        <v>0</v>
      </c>
      <c r="BQ61" s="24">
        <f t="shared" ref="BQ61:BQ70" si="79">+Z61-AV61</f>
        <v>1162298</v>
      </c>
      <c r="BR61" s="25">
        <f t="shared" si="10"/>
        <v>0.98836267215799767</v>
      </c>
      <c r="BS61" s="24">
        <f t="shared" ref="BS61:BS92" si="80">SUM(BT61:CM61)</f>
        <v>115893703</v>
      </c>
      <c r="BT61" s="24"/>
      <c r="BU61" s="24"/>
      <c r="BV61" s="24"/>
      <c r="BW61" s="24"/>
      <c r="BX61" s="24"/>
      <c r="BY61" s="24">
        <f>+'[2]DICIEMBRE 2016'!$P$3941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+'[2]DICIEMBRE 2016'!$AG$3941</f>
        <v>66095978</v>
      </c>
      <c r="CN61" s="48">
        <f t="shared" ref="CN61:CN93" si="81">1-BR61</f>
        <v>1.1637327842002332E-2</v>
      </c>
      <c r="CO61" s="24">
        <f t="shared" ref="CO61:CO92" si="82">SUM(CP61:DH61)</f>
        <v>1364573</v>
      </c>
      <c r="CP61" s="24">
        <f t="shared" ref="CP61:CX76" si="83">H61-BU61</f>
        <v>0</v>
      </c>
      <c r="CQ61" s="24">
        <f t="shared" si="83"/>
        <v>0</v>
      </c>
      <c r="CR61" s="24">
        <f t="shared" si="83"/>
        <v>0</v>
      </c>
      <c r="CS61" s="24">
        <f t="shared" si="83"/>
        <v>0</v>
      </c>
      <c r="CT61" s="24">
        <f t="shared" si="83"/>
        <v>202275</v>
      </c>
      <c r="CU61" s="24">
        <f t="shared" si="83"/>
        <v>0</v>
      </c>
      <c r="CV61" s="24">
        <f t="shared" ref="CV61:CX70" si="84">+N61-CA61</f>
        <v>0</v>
      </c>
      <c r="CW61" s="24">
        <f t="shared" si="84"/>
        <v>0</v>
      </c>
      <c r="CX61" s="24">
        <f t="shared" si="84"/>
        <v>0</v>
      </c>
      <c r="CY61" s="24">
        <f t="shared" ref="CY61:DD91" si="85">Q61-CD61</f>
        <v>0</v>
      </c>
      <c r="CZ61" s="24">
        <f t="shared" si="85"/>
        <v>0</v>
      </c>
      <c r="DA61" s="24">
        <f t="shared" si="85"/>
        <v>0</v>
      </c>
      <c r="DB61" s="24">
        <f t="shared" ref="DB61:DD70" si="86">+T61-CG61</f>
        <v>0</v>
      </c>
      <c r="DC61" s="24">
        <f t="shared" si="86"/>
        <v>0</v>
      </c>
      <c r="DD61" s="24">
        <f t="shared" si="86"/>
        <v>0</v>
      </c>
      <c r="DE61" s="24"/>
      <c r="DF61" s="24">
        <f t="shared" ref="DF61:DH70" si="87">+X61-CK61</f>
        <v>0</v>
      </c>
      <c r="DG61" s="54">
        <f t="shared" si="87"/>
        <v>0</v>
      </c>
      <c r="DH61" s="24">
        <f t="shared" si="87"/>
        <v>1162298</v>
      </c>
    </row>
    <row r="62" spans="1:113" ht="35.25" customHeight="1" x14ac:dyDescent="0.25">
      <c r="A62" s="237"/>
      <c r="B62" s="240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4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88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5"/>
        <v>5440500</v>
      </c>
      <c r="AY62" s="24">
        <f t="shared" si="76"/>
        <v>0</v>
      </c>
      <c r="AZ62" s="24">
        <f t="shared" si="76"/>
        <v>0</v>
      </c>
      <c r="BA62" s="24">
        <f t="shared" si="76"/>
        <v>0</v>
      </c>
      <c r="BB62" s="24">
        <f t="shared" si="77"/>
        <v>0</v>
      </c>
      <c r="BC62" s="24">
        <f t="shared" si="77"/>
        <v>0</v>
      </c>
      <c r="BD62" s="24">
        <f t="shared" si="77"/>
        <v>0</v>
      </c>
      <c r="BE62" s="24">
        <f t="shared" si="77"/>
        <v>0</v>
      </c>
      <c r="BF62" s="24">
        <f t="shared" si="77"/>
        <v>0</v>
      </c>
      <c r="BG62" s="24">
        <f t="shared" si="77"/>
        <v>0</v>
      </c>
      <c r="BH62" s="24">
        <f t="shared" si="77"/>
        <v>0</v>
      </c>
      <c r="BI62" s="24">
        <f t="shared" si="77"/>
        <v>0</v>
      </c>
      <c r="BJ62" s="24">
        <f t="shared" si="77"/>
        <v>0</v>
      </c>
      <c r="BK62" s="24">
        <f t="shared" si="77"/>
        <v>0</v>
      </c>
      <c r="BL62" s="24">
        <f t="shared" si="77"/>
        <v>0</v>
      </c>
      <c r="BM62" s="24">
        <f t="shared" si="77"/>
        <v>0</v>
      </c>
      <c r="BN62" s="24"/>
      <c r="BO62" s="24"/>
      <c r="BP62" s="24">
        <f t="shared" si="78"/>
        <v>0</v>
      </c>
      <c r="BQ62" s="24">
        <f t="shared" si="79"/>
        <v>5440500</v>
      </c>
      <c r="BR62" s="25">
        <f t="shared" si="10"/>
        <v>0.31993749999999999</v>
      </c>
      <c r="BS62" s="24">
        <f t="shared" si="80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81"/>
        <v>0.68006250000000001</v>
      </c>
      <c r="CO62" s="24">
        <f t="shared" si="82"/>
        <v>5440500</v>
      </c>
      <c r="CP62" s="24">
        <f t="shared" si="83"/>
        <v>0</v>
      </c>
      <c r="CQ62" s="24">
        <f t="shared" si="83"/>
        <v>0</v>
      </c>
      <c r="CR62" s="24">
        <f t="shared" si="83"/>
        <v>0</v>
      </c>
      <c r="CS62" s="24">
        <f t="shared" si="83"/>
        <v>0</v>
      </c>
      <c r="CT62" s="24">
        <f t="shared" si="83"/>
        <v>0</v>
      </c>
      <c r="CU62" s="24">
        <f t="shared" si="83"/>
        <v>0</v>
      </c>
      <c r="CV62" s="24">
        <f t="shared" si="84"/>
        <v>0</v>
      </c>
      <c r="CW62" s="24">
        <f t="shared" si="84"/>
        <v>0</v>
      </c>
      <c r="CX62" s="24">
        <f t="shared" si="84"/>
        <v>0</v>
      </c>
      <c r="CY62" s="24">
        <f t="shared" si="85"/>
        <v>0</v>
      </c>
      <c r="CZ62" s="24">
        <f t="shared" si="85"/>
        <v>0</v>
      </c>
      <c r="DA62" s="24">
        <f t="shared" si="85"/>
        <v>0</v>
      </c>
      <c r="DB62" s="24">
        <f t="shared" si="86"/>
        <v>0</v>
      </c>
      <c r="DC62" s="24">
        <f t="shared" si="86"/>
        <v>0</v>
      </c>
      <c r="DD62" s="24">
        <f t="shared" si="86"/>
        <v>0</v>
      </c>
      <c r="DE62" s="24"/>
      <c r="DF62" s="24">
        <f t="shared" si="87"/>
        <v>0</v>
      </c>
      <c r="DG62" s="54">
        <f t="shared" si="87"/>
        <v>0</v>
      </c>
      <c r="DH62" s="24">
        <f t="shared" si="87"/>
        <v>5440500</v>
      </c>
    </row>
    <row r="63" spans="1:113" ht="36.75" customHeight="1" x14ac:dyDescent="0.25">
      <c r="A63" s="237"/>
      <c r="B63" s="241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4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88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+'[11]JUNIO 2016'!$G$1784</f>
        <v>3000000</v>
      </c>
      <c r="AW63" s="25">
        <f t="shared" si="3"/>
        <v>0</v>
      </c>
      <c r="AX63" s="24">
        <f t="shared" si="75"/>
        <v>0</v>
      </c>
      <c r="AY63" s="24">
        <f t="shared" si="76"/>
        <v>0</v>
      </c>
      <c r="AZ63" s="24">
        <f t="shared" si="76"/>
        <v>0</v>
      </c>
      <c r="BA63" s="24">
        <f t="shared" si="76"/>
        <v>0</v>
      </c>
      <c r="BB63" s="24">
        <f t="shared" si="77"/>
        <v>0</v>
      </c>
      <c r="BC63" s="24">
        <f t="shared" si="77"/>
        <v>0</v>
      </c>
      <c r="BD63" s="24">
        <f t="shared" si="77"/>
        <v>0</v>
      </c>
      <c r="BE63" s="24">
        <f t="shared" si="77"/>
        <v>0</v>
      </c>
      <c r="BF63" s="24">
        <f t="shared" si="77"/>
        <v>0</v>
      </c>
      <c r="BG63" s="24">
        <f t="shared" si="77"/>
        <v>0</v>
      </c>
      <c r="BH63" s="24">
        <f t="shared" si="77"/>
        <v>0</v>
      </c>
      <c r="BI63" s="24">
        <f t="shared" si="77"/>
        <v>0</v>
      </c>
      <c r="BJ63" s="24">
        <f t="shared" si="77"/>
        <v>0</v>
      </c>
      <c r="BK63" s="24">
        <f t="shared" si="77"/>
        <v>0</v>
      </c>
      <c r="BL63" s="24">
        <f t="shared" si="77"/>
        <v>0</v>
      </c>
      <c r="BM63" s="24">
        <f t="shared" si="77"/>
        <v>0</v>
      </c>
      <c r="BN63" s="24"/>
      <c r="BO63" s="24"/>
      <c r="BP63" s="24">
        <f t="shared" si="78"/>
        <v>0</v>
      </c>
      <c r="BQ63" s="24">
        <f t="shared" si="79"/>
        <v>0</v>
      </c>
      <c r="BR63" s="25">
        <f t="shared" si="10"/>
        <v>1</v>
      </c>
      <c r="BS63" s="24">
        <f t="shared" si="80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+'[11]JUNIO 2016'!$H$1784</f>
        <v>3000000</v>
      </c>
      <c r="CN63" s="25">
        <f t="shared" si="81"/>
        <v>0</v>
      </c>
      <c r="CO63" s="24">
        <f t="shared" si="82"/>
        <v>0</v>
      </c>
      <c r="CP63" s="24">
        <f t="shared" si="83"/>
        <v>0</v>
      </c>
      <c r="CQ63" s="24">
        <f t="shared" si="83"/>
        <v>0</v>
      </c>
      <c r="CR63" s="24">
        <f t="shared" si="83"/>
        <v>0</v>
      </c>
      <c r="CS63" s="24">
        <f t="shared" si="83"/>
        <v>0</v>
      </c>
      <c r="CT63" s="24">
        <f t="shared" si="83"/>
        <v>0</v>
      </c>
      <c r="CU63" s="24">
        <f t="shared" si="83"/>
        <v>0</v>
      </c>
      <c r="CV63" s="24">
        <f t="shared" si="84"/>
        <v>0</v>
      </c>
      <c r="CW63" s="24">
        <f t="shared" si="84"/>
        <v>0</v>
      </c>
      <c r="CX63" s="24">
        <f t="shared" si="84"/>
        <v>0</v>
      </c>
      <c r="CY63" s="24">
        <f t="shared" si="85"/>
        <v>0</v>
      </c>
      <c r="CZ63" s="24">
        <f t="shared" si="85"/>
        <v>0</v>
      </c>
      <c r="DA63" s="24">
        <f t="shared" si="85"/>
        <v>0</v>
      </c>
      <c r="DB63" s="24">
        <f t="shared" si="86"/>
        <v>0</v>
      </c>
      <c r="DC63" s="24">
        <f t="shared" si="86"/>
        <v>0</v>
      </c>
      <c r="DD63" s="24">
        <f t="shared" si="86"/>
        <v>0</v>
      </c>
      <c r="DE63" s="24"/>
      <c r="DF63" s="24">
        <f t="shared" si="87"/>
        <v>0</v>
      </c>
      <c r="DG63" s="54">
        <f t="shared" si="87"/>
        <v>0</v>
      </c>
      <c r="DH63" s="24">
        <f t="shared" si="87"/>
        <v>0</v>
      </c>
    </row>
    <row r="64" spans="1:113" ht="34.5" customHeight="1" x14ac:dyDescent="0.25">
      <c r="A64" s="237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4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0.90116805</v>
      </c>
      <c r="AB64" s="24">
        <f t="shared" si="88"/>
        <v>18023361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+'[2]DICIEMBRE 2016'!$W$4050</f>
        <v>18023361</v>
      </c>
      <c r="AP64" s="24"/>
      <c r="AQ64" s="24"/>
      <c r="AR64" s="24"/>
      <c r="AS64" s="24"/>
      <c r="AT64" s="24"/>
      <c r="AU64" s="24"/>
      <c r="AV64" s="24"/>
      <c r="AW64" s="25">
        <f t="shared" si="3"/>
        <v>9.8831950000000002E-2</v>
      </c>
      <c r="AX64" s="24">
        <f t="shared" si="75"/>
        <v>1976639</v>
      </c>
      <c r="AY64" s="24">
        <f t="shared" si="76"/>
        <v>0</v>
      </c>
      <c r="AZ64" s="24">
        <f t="shared" si="76"/>
        <v>0</v>
      </c>
      <c r="BA64" s="24">
        <f t="shared" si="76"/>
        <v>0</v>
      </c>
      <c r="BB64" s="24">
        <f t="shared" si="77"/>
        <v>0</v>
      </c>
      <c r="BC64" s="24">
        <f t="shared" si="77"/>
        <v>0</v>
      </c>
      <c r="BD64" s="24">
        <f t="shared" si="77"/>
        <v>0</v>
      </c>
      <c r="BE64" s="24">
        <f t="shared" si="77"/>
        <v>0</v>
      </c>
      <c r="BF64" s="24">
        <f t="shared" si="77"/>
        <v>0</v>
      </c>
      <c r="BG64" s="24">
        <f t="shared" si="77"/>
        <v>0</v>
      </c>
      <c r="BH64" s="24">
        <f t="shared" si="77"/>
        <v>0</v>
      </c>
      <c r="BI64" s="24">
        <f t="shared" si="77"/>
        <v>0</v>
      </c>
      <c r="BJ64" s="24">
        <f t="shared" si="77"/>
        <v>1976639</v>
      </c>
      <c r="BK64" s="24">
        <f t="shared" si="77"/>
        <v>0</v>
      </c>
      <c r="BL64" s="24">
        <f t="shared" si="77"/>
        <v>0</v>
      </c>
      <c r="BM64" s="24">
        <f t="shared" si="77"/>
        <v>0</v>
      </c>
      <c r="BN64" s="24"/>
      <c r="BO64" s="24">
        <f>+X64-AT64</f>
        <v>0</v>
      </c>
      <c r="BP64" s="24">
        <f t="shared" si="78"/>
        <v>0</v>
      </c>
      <c r="BQ64" s="24">
        <f t="shared" si="79"/>
        <v>0</v>
      </c>
      <c r="BR64" s="25">
        <f t="shared" si="10"/>
        <v>0.90116805</v>
      </c>
      <c r="BS64" s="24">
        <f t="shared" si="80"/>
        <v>18023361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+'[5]NOVIEMBRE 2016'!$H$3858</f>
        <v>18023361</v>
      </c>
      <c r="CG64" s="24"/>
      <c r="CH64" s="24"/>
      <c r="CI64" s="24"/>
      <c r="CJ64" s="24"/>
      <c r="CK64" s="24"/>
      <c r="CL64" s="24"/>
      <c r="CM64" s="24"/>
      <c r="CN64" s="25">
        <f t="shared" si="81"/>
        <v>9.8831950000000002E-2</v>
      </c>
      <c r="CO64" s="24">
        <f t="shared" si="82"/>
        <v>1976639</v>
      </c>
      <c r="CP64" s="24">
        <f t="shared" si="83"/>
        <v>0</v>
      </c>
      <c r="CQ64" s="24">
        <f t="shared" si="83"/>
        <v>0</v>
      </c>
      <c r="CR64" s="24">
        <f t="shared" si="83"/>
        <v>0</v>
      </c>
      <c r="CS64" s="24">
        <f t="shared" si="83"/>
        <v>0</v>
      </c>
      <c r="CT64" s="24">
        <f t="shared" si="83"/>
        <v>0</v>
      </c>
      <c r="CU64" s="24">
        <f t="shared" si="83"/>
        <v>0</v>
      </c>
      <c r="CV64" s="24">
        <f t="shared" si="84"/>
        <v>0</v>
      </c>
      <c r="CW64" s="24">
        <f t="shared" si="84"/>
        <v>0</v>
      </c>
      <c r="CX64" s="24">
        <f t="shared" si="84"/>
        <v>0</v>
      </c>
      <c r="CY64" s="24">
        <f t="shared" si="85"/>
        <v>0</v>
      </c>
      <c r="CZ64" s="24">
        <f t="shared" si="85"/>
        <v>0</v>
      </c>
      <c r="DA64" s="24">
        <f t="shared" si="85"/>
        <v>1976639</v>
      </c>
      <c r="DB64" s="24">
        <f t="shared" si="86"/>
        <v>0</v>
      </c>
      <c r="DC64" s="24">
        <f t="shared" si="86"/>
        <v>0</v>
      </c>
      <c r="DD64" s="24">
        <f t="shared" si="86"/>
        <v>0</v>
      </c>
      <c r="DE64" s="24"/>
      <c r="DF64" s="24">
        <f t="shared" si="87"/>
        <v>0</v>
      </c>
      <c r="DG64" s="54">
        <f t="shared" si="87"/>
        <v>0</v>
      </c>
      <c r="DH64" s="24">
        <f t="shared" si="87"/>
        <v>0</v>
      </c>
    </row>
    <row r="65" spans="1:112" ht="36.75" customHeight="1" x14ac:dyDescent="0.25">
      <c r="A65" s="237"/>
      <c r="B65" s="239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4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0.99588846086956517</v>
      </c>
      <c r="AB65" s="24">
        <f t="shared" si="88"/>
        <v>114527173</v>
      </c>
      <c r="AC65" s="24"/>
      <c r="AD65" s="24"/>
      <c r="AE65" s="24"/>
      <c r="AF65" s="24"/>
      <c r="AG65" s="24">
        <f>+'[4]DICIEMBRE 2016'!$O$4088</f>
        <v>94527173</v>
      </c>
      <c r="AH65" s="24"/>
      <c r="AI65" s="24"/>
      <c r="AJ65" s="24"/>
      <c r="AK65" s="24"/>
      <c r="AL65" s="24"/>
      <c r="AM65" s="24"/>
      <c r="AN65" s="24"/>
      <c r="AO65" s="24">
        <f>+'[2]DICIEMBRE 2016'!$H$4096+'[2]DICIEMBRE 2016'!$H$4097+'[2]DICIEMBRE 2016'!$H$4107+'[2]DICIEMBRE 2016'!$H$4113</f>
        <v>20000000</v>
      </c>
      <c r="AP65" s="24"/>
      <c r="AQ65" s="24"/>
      <c r="AR65" s="24"/>
      <c r="AS65" s="24"/>
      <c r="AT65" s="24"/>
      <c r="AU65" s="24"/>
      <c r="AV65" s="24"/>
      <c r="AW65" s="25">
        <f t="shared" si="3"/>
        <v>4.111539130434827E-3</v>
      </c>
      <c r="AX65" s="24">
        <f t="shared" si="75"/>
        <v>472827</v>
      </c>
      <c r="AY65" s="24">
        <f t="shared" si="76"/>
        <v>0</v>
      </c>
      <c r="AZ65" s="24">
        <f t="shared" si="76"/>
        <v>0</v>
      </c>
      <c r="BA65" s="24">
        <f t="shared" si="76"/>
        <v>0</v>
      </c>
      <c r="BB65" s="24">
        <f t="shared" si="77"/>
        <v>472827</v>
      </c>
      <c r="BC65" s="24">
        <f t="shared" si="77"/>
        <v>0</v>
      </c>
      <c r="BD65" s="24">
        <f t="shared" si="77"/>
        <v>0</v>
      </c>
      <c r="BE65" s="24">
        <f>N65-AJ65</f>
        <v>0</v>
      </c>
      <c r="BF65" s="24">
        <f t="shared" si="77"/>
        <v>0</v>
      </c>
      <c r="BG65" s="24">
        <f t="shared" si="77"/>
        <v>0</v>
      </c>
      <c r="BH65" s="24">
        <f t="shared" si="77"/>
        <v>0</v>
      </c>
      <c r="BI65" s="24">
        <f t="shared" si="77"/>
        <v>0</v>
      </c>
      <c r="BJ65" s="24">
        <f t="shared" si="77"/>
        <v>0</v>
      </c>
      <c r="BK65" s="24">
        <f>T65-AP65</f>
        <v>0</v>
      </c>
      <c r="BL65" s="24">
        <f t="shared" si="77"/>
        <v>0</v>
      </c>
      <c r="BM65" s="24">
        <f t="shared" si="77"/>
        <v>0</v>
      </c>
      <c r="BN65" s="24"/>
      <c r="BO65" s="24"/>
      <c r="BP65" s="24">
        <f t="shared" si="78"/>
        <v>0</v>
      </c>
      <c r="BQ65" s="24">
        <f t="shared" si="79"/>
        <v>0</v>
      </c>
      <c r="BR65" s="25">
        <f t="shared" si="10"/>
        <v>0.99588846086956517</v>
      </c>
      <c r="BS65" s="24">
        <f t="shared" si="80"/>
        <v>114527173</v>
      </c>
      <c r="BT65" s="24"/>
      <c r="BU65" s="24"/>
      <c r="BV65" s="24"/>
      <c r="BW65" s="24"/>
      <c r="BX65" s="24">
        <f>+'[4]DICIEMBRE 2016'!$O$4088</f>
        <v>94527173</v>
      </c>
      <c r="BY65" s="24"/>
      <c r="BZ65" s="24"/>
      <c r="CA65" s="24"/>
      <c r="CB65" s="24"/>
      <c r="CC65" s="24"/>
      <c r="CD65" s="24"/>
      <c r="CE65" s="24"/>
      <c r="CF65" s="24">
        <f>+'[5]NOVIEMBRE 2016'!$H$3905+'[5]NOVIEMBRE 2016'!$H$3906+'[5]NOVIEMBRE 2016'!$H$3916+'[5]NOVIEMBRE 2016'!$H$3922</f>
        <v>20000000</v>
      </c>
      <c r="CG65" s="24"/>
      <c r="CH65" s="24"/>
      <c r="CI65" s="24"/>
      <c r="CJ65" s="24"/>
      <c r="CK65" s="24"/>
      <c r="CL65" s="24"/>
      <c r="CM65" s="24"/>
      <c r="CN65" s="25">
        <f t="shared" si="81"/>
        <v>4.111539130434827E-3</v>
      </c>
      <c r="CO65" s="24">
        <f t="shared" si="82"/>
        <v>472827</v>
      </c>
      <c r="CP65" s="24">
        <f t="shared" si="83"/>
        <v>0</v>
      </c>
      <c r="CQ65" s="24">
        <f t="shared" si="83"/>
        <v>0</v>
      </c>
      <c r="CR65" s="24">
        <f t="shared" si="83"/>
        <v>0</v>
      </c>
      <c r="CS65" s="24">
        <f t="shared" si="83"/>
        <v>472827</v>
      </c>
      <c r="CT65" s="24">
        <f t="shared" si="83"/>
        <v>0</v>
      </c>
      <c r="CU65" s="24">
        <f t="shared" si="83"/>
        <v>0</v>
      </c>
      <c r="CV65" s="24">
        <f t="shared" si="84"/>
        <v>0</v>
      </c>
      <c r="CW65" s="24">
        <f t="shared" si="84"/>
        <v>0</v>
      </c>
      <c r="CX65" s="24">
        <f t="shared" si="84"/>
        <v>0</v>
      </c>
      <c r="CY65" s="24">
        <f t="shared" si="85"/>
        <v>0</v>
      </c>
      <c r="CZ65" s="24">
        <f t="shared" si="85"/>
        <v>0</v>
      </c>
      <c r="DA65" s="24">
        <f t="shared" si="85"/>
        <v>0</v>
      </c>
      <c r="DB65" s="24">
        <f t="shared" si="86"/>
        <v>0</v>
      </c>
      <c r="DC65" s="24">
        <f t="shared" si="86"/>
        <v>0</v>
      </c>
      <c r="DD65" s="24">
        <f t="shared" si="86"/>
        <v>0</v>
      </c>
      <c r="DE65" s="24"/>
      <c r="DF65" s="24">
        <f t="shared" si="87"/>
        <v>0</v>
      </c>
      <c r="DG65" s="54">
        <f t="shared" si="87"/>
        <v>0</v>
      </c>
      <c r="DH65" s="24">
        <f t="shared" si="87"/>
        <v>0</v>
      </c>
    </row>
    <row r="66" spans="1:112" ht="33.75" customHeight="1" x14ac:dyDescent="0.25">
      <c r="A66" s="237"/>
      <c r="B66" s="240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4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0.91680210635960246</v>
      </c>
      <c r="AB66" s="24">
        <f t="shared" si="88"/>
        <v>372131297</v>
      </c>
      <c r="AC66" s="24"/>
      <c r="AD66" s="24"/>
      <c r="AE66" s="24"/>
      <c r="AF66" s="24"/>
      <c r="AG66" s="24">
        <f>+'[4]DICIEMBRE 2016'!$O$4131</f>
        <v>157483417</v>
      </c>
      <c r="AH66" s="24"/>
      <c r="AI66" s="24"/>
      <c r="AJ66" s="24"/>
      <c r="AK66" s="24"/>
      <c r="AL66" s="24"/>
      <c r="AM66" s="24"/>
      <c r="AN66" s="24">
        <f>+'[4]DICIEMBRE 2016'!$V$4131</f>
        <v>214647880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8.3197893640397536E-2</v>
      </c>
      <c r="AX66" s="24">
        <f t="shared" si="75"/>
        <v>33770145</v>
      </c>
      <c r="AY66" s="24">
        <f t="shared" si="76"/>
        <v>0</v>
      </c>
      <c r="AZ66" s="24">
        <f t="shared" si="76"/>
        <v>0</v>
      </c>
      <c r="BA66" s="24">
        <f t="shared" si="76"/>
        <v>0</v>
      </c>
      <c r="BB66" s="24">
        <f t="shared" si="77"/>
        <v>4418025</v>
      </c>
      <c r="BC66" s="24">
        <f t="shared" si="77"/>
        <v>0</v>
      </c>
      <c r="BD66" s="24">
        <f t="shared" si="77"/>
        <v>0</v>
      </c>
      <c r="BE66" s="24">
        <f>N66-AJ66</f>
        <v>0</v>
      </c>
      <c r="BF66" s="24">
        <f t="shared" si="77"/>
        <v>0</v>
      </c>
      <c r="BG66" s="24">
        <f t="shared" si="77"/>
        <v>0</v>
      </c>
      <c r="BH66" s="24">
        <f t="shared" si="77"/>
        <v>0</v>
      </c>
      <c r="BI66" s="24">
        <f t="shared" si="77"/>
        <v>29352120</v>
      </c>
      <c r="BJ66" s="24">
        <f t="shared" si="77"/>
        <v>0</v>
      </c>
      <c r="BK66" s="24">
        <f>T66-AP66</f>
        <v>0</v>
      </c>
      <c r="BL66" s="24">
        <f t="shared" si="77"/>
        <v>0</v>
      </c>
      <c r="BM66" s="24">
        <f t="shared" si="77"/>
        <v>0</v>
      </c>
      <c r="BN66" s="24"/>
      <c r="BO66" s="24"/>
      <c r="BP66" s="24">
        <f t="shared" si="78"/>
        <v>0</v>
      </c>
      <c r="BQ66" s="24">
        <f t="shared" si="79"/>
        <v>0</v>
      </c>
      <c r="BR66" s="25">
        <f t="shared" si="10"/>
        <v>0.91680210635960246</v>
      </c>
      <c r="BS66" s="24">
        <f t="shared" si="80"/>
        <v>372131297</v>
      </c>
      <c r="BT66" s="24"/>
      <c r="BU66" s="24"/>
      <c r="BV66" s="24"/>
      <c r="BW66" s="24"/>
      <c r="BX66" s="24">
        <f>+'[2]DICIEMBRE 2016'!$O$4129</f>
        <v>157483417</v>
      </c>
      <c r="BY66" s="24"/>
      <c r="BZ66" s="24"/>
      <c r="CA66" s="24"/>
      <c r="CB66" s="24"/>
      <c r="CC66" s="24"/>
      <c r="CD66" s="24"/>
      <c r="CE66" s="24">
        <f>+'[4]DICIEMBRE 2016'!$V$4131</f>
        <v>214647880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81"/>
        <v>8.3197893640397536E-2</v>
      </c>
      <c r="CO66" s="24">
        <f t="shared" si="82"/>
        <v>33770145</v>
      </c>
      <c r="CP66" s="24">
        <f t="shared" si="83"/>
        <v>0</v>
      </c>
      <c r="CQ66" s="24">
        <f t="shared" si="83"/>
        <v>0</v>
      </c>
      <c r="CR66" s="24">
        <f t="shared" si="83"/>
        <v>0</v>
      </c>
      <c r="CS66" s="24">
        <f t="shared" si="83"/>
        <v>4418025</v>
      </c>
      <c r="CT66" s="24">
        <f t="shared" si="83"/>
        <v>0</v>
      </c>
      <c r="CU66" s="24">
        <f t="shared" si="83"/>
        <v>0</v>
      </c>
      <c r="CV66" s="24">
        <f t="shared" si="84"/>
        <v>0</v>
      </c>
      <c r="CW66" s="24">
        <f t="shared" si="84"/>
        <v>0</v>
      </c>
      <c r="CX66" s="24">
        <f t="shared" si="84"/>
        <v>0</v>
      </c>
      <c r="CY66" s="24">
        <f t="shared" si="85"/>
        <v>0</v>
      </c>
      <c r="CZ66" s="24">
        <f t="shared" si="85"/>
        <v>29352120</v>
      </c>
      <c r="DA66" s="24">
        <f t="shared" si="85"/>
        <v>0</v>
      </c>
      <c r="DB66" s="24">
        <f t="shared" si="86"/>
        <v>0</v>
      </c>
      <c r="DC66" s="24">
        <f t="shared" si="86"/>
        <v>0</v>
      </c>
      <c r="DD66" s="24">
        <f t="shared" si="86"/>
        <v>0</v>
      </c>
      <c r="DE66" s="24"/>
      <c r="DF66" s="24">
        <f t="shared" si="87"/>
        <v>0</v>
      </c>
      <c r="DG66" s="54">
        <f t="shared" si="87"/>
        <v>0</v>
      </c>
      <c r="DH66" s="24">
        <f t="shared" si="87"/>
        <v>0</v>
      </c>
    </row>
    <row r="67" spans="1:112" ht="30.75" customHeight="1" x14ac:dyDescent="0.25">
      <c r="A67" s="237"/>
      <c r="B67" s="240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4"/>
        <v>18000000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8000000+3000000+10000000-3000000</f>
        <v>18000000</v>
      </c>
      <c r="AA67" s="25">
        <f t="shared" si="1"/>
        <v>0.98928400000000005</v>
      </c>
      <c r="AB67" s="24">
        <f t="shared" si="88"/>
        <v>17807112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+'[4]DICIEMBRE 2016'!$AG$4308</f>
        <v>17807112</v>
      </c>
      <c r="AW67" s="25">
        <f t="shared" si="3"/>
        <v>1.0715999999999948E-2</v>
      </c>
      <c r="AX67" s="24">
        <f t="shared" si="75"/>
        <v>192888</v>
      </c>
      <c r="AY67" s="24">
        <f t="shared" si="76"/>
        <v>0</v>
      </c>
      <c r="AZ67" s="24">
        <f t="shared" si="76"/>
        <v>0</v>
      </c>
      <c r="BA67" s="24">
        <f t="shared" si="76"/>
        <v>0</v>
      </c>
      <c r="BB67" s="24">
        <f t="shared" si="77"/>
        <v>0</v>
      </c>
      <c r="BC67" s="24">
        <f t="shared" si="77"/>
        <v>0</v>
      </c>
      <c r="BD67" s="24">
        <f t="shared" si="77"/>
        <v>0</v>
      </c>
      <c r="BE67" s="24">
        <f>N67-AJ67</f>
        <v>0</v>
      </c>
      <c r="BF67" s="24">
        <f t="shared" si="77"/>
        <v>0</v>
      </c>
      <c r="BG67" s="24">
        <f t="shared" si="77"/>
        <v>0</v>
      </c>
      <c r="BH67" s="24">
        <f t="shared" si="77"/>
        <v>0</v>
      </c>
      <c r="BI67" s="24">
        <f t="shared" si="77"/>
        <v>0</v>
      </c>
      <c r="BJ67" s="24">
        <f t="shared" si="77"/>
        <v>0</v>
      </c>
      <c r="BK67" s="24">
        <f>T67-AP67</f>
        <v>0</v>
      </c>
      <c r="BL67" s="24">
        <f t="shared" si="77"/>
        <v>0</v>
      </c>
      <c r="BM67" s="24">
        <f t="shared" si="77"/>
        <v>0</v>
      </c>
      <c r="BN67" s="24"/>
      <c r="BO67" s="24"/>
      <c r="BP67" s="24">
        <f t="shared" si="78"/>
        <v>0</v>
      </c>
      <c r="BQ67" s="24">
        <f t="shared" si="79"/>
        <v>192888</v>
      </c>
      <c r="BR67" s="25">
        <f t="shared" si="10"/>
        <v>0.98928400000000005</v>
      </c>
      <c r="BS67" s="24">
        <f t="shared" si="80"/>
        <v>17807112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+'[4]DICIEMBRE 2016'!$AG$4308</f>
        <v>17807112</v>
      </c>
      <c r="CN67" s="25">
        <f t="shared" si="81"/>
        <v>1.0715999999999948E-2</v>
      </c>
      <c r="CO67" s="24">
        <f t="shared" si="82"/>
        <v>192888</v>
      </c>
      <c r="CP67" s="24">
        <f t="shared" si="83"/>
        <v>0</v>
      </c>
      <c r="CQ67" s="24">
        <f t="shared" si="83"/>
        <v>0</v>
      </c>
      <c r="CR67" s="24">
        <f t="shared" si="83"/>
        <v>0</v>
      </c>
      <c r="CS67" s="24">
        <f t="shared" si="83"/>
        <v>0</v>
      </c>
      <c r="CT67" s="24">
        <f t="shared" si="83"/>
        <v>0</v>
      </c>
      <c r="CU67" s="24">
        <f t="shared" si="83"/>
        <v>0</v>
      </c>
      <c r="CV67" s="24">
        <f t="shared" si="84"/>
        <v>0</v>
      </c>
      <c r="CW67" s="24">
        <f t="shared" si="84"/>
        <v>0</v>
      </c>
      <c r="CX67" s="24">
        <f t="shared" si="84"/>
        <v>0</v>
      </c>
      <c r="CY67" s="24">
        <f t="shared" si="85"/>
        <v>0</v>
      </c>
      <c r="CZ67" s="24">
        <f t="shared" si="85"/>
        <v>0</v>
      </c>
      <c r="DA67" s="24">
        <f t="shared" si="85"/>
        <v>0</v>
      </c>
      <c r="DB67" s="24">
        <f t="shared" si="86"/>
        <v>0</v>
      </c>
      <c r="DC67" s="24">
        <f t="shared" si="86"/>
        <v>0</v>
      </c>
      <c r="DD67" s="24">
        <f t="shared" si="86"/>
        <v>0</v>
      </c>
      <c r="DE67" s="24"/>
      <c r="DF67" s="24">
        <f t="shared" si="87"/>
        <v>0</v>
      </c>
      <c r="DG67" s="54">
        <f t="shared" si="87"/>
        <v>0</v>
      </c>
      <c r="DH67" s="24">
        <f t="shared" si="87"/>
        <v>192888</v>
      </c>
    </row>
    <row r="68" spans="1:112" ht="34.5" customHeight="1" x14ac:dyDescent="0.25">
      <c r="A68" s="237"/>
      <c r="B68" s="240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4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89">+AB68/G68</f>
        <v>0.81875084291993694</v>
      </c>
      <c r="AB68" s="24">
        <f t="shared" si="88"/>
        <v>6963200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+'[4]DICIEMBRE 2016'!$AG$4342</f>
        <v>6963200</v>
      </c>
      <c r="AW68" s="25">
        <f t="shared" si="3"/>
        <v>0.18124915708006306</v>
      </c>
      <c r="AX68" s="24">
        <f t="shared" si="75"/>
        <v>1541463</v>
      </c>
      <c r="AY68" s="24">
        <f t="shared" si="76"/>
        <v>0</v>
      </c>
      <c r="AZ68" s="24">
        <f t="shared" si="76"/>
        <v>0</v>
      </c>
      <c r="BA68" s="24">
        <f t="shared" si="76"/>
        <v>0</v>
      </c>
      <c r="BB68" s="24">
        <f t="shared" si="77"/>
        <v>0</v>
      </c>
      <c r="BC68" s="24">
        <f t="shared" si="77"/>
        <v>0</v>
      </c>
      <c r="BD68" s="24">
        <f t="shared" si="77"/>
        <v>0</v>
      </c>
      <c r="BE68" s="24">
        <f>N68-AJ68</f>
        <v>0</v>
      </c>
      <c r="BF68" s="24">
        <f t="shared" si="77"/>
        <v>0</v>
      </c>
      <c r="BG68" s="24">
        <f t="shared" si="77"/>
        <v>0</v>
      </c>
      <c r="BH68" s="24">
        <f t="shared" si="77"/>
        <v>0</v>
      </c>
      <c r="BI68" s="24">
        <f t="shared" si="77"/>
        <v>0</v>
      </c>
      <c r="BJ68" s="24">
        <f t="shared" si="77"/>
        <v>0</v>
      </c>
      <c r="BK68" s="24">
        <f>T68-AP68</f>
        <v>0</v>
      </c>
      <c r="BL68" s="24">
        <f t="shared" si="77"/>
        <v>0</v>
      </c>
      <c r="BM68" s="24">
        <f t="shared" si="77"/>
        <v>0</v>
      </c>
      <c r="BN68" s="24"/>
      <c r="BO68" s="24"/>
      <c r="BP68" s="24">
        <f t="shared" si="78"/>
        <v>0</v>
      </c>
      <c r="BQ68" s="24">
        <f t="shared" si="79"/>
        <v>1541463</v>
      </c>
      <c r="BR68" s="25">
        <f t="shared" ref="BR68:BR93" si="90">+BS68/G68</f>
        <v>0.81875084291993694</v>
      </c>
      <c r="BS68" s="24">
        <f t="shared" si="80"/>
        <v>6963200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+'[4]DICIEMBRE 2016'!$AG$4342</f>
        <v>6963200</v>
      </c>
      <c r="CN68" s="25">
        <f t="shared" si="81"/>
        <v>0.18124915708006306</v>
      </c>
      <c r="CO68" s="24">
        <f t="shared" si="82"/>
        <v>1541463</v>
      </c>
      <c r="CP68" s="24">
        <f t="shared" si="83"/>
        <v>0</v>
      </c>
      <c r="CQ68" s="24">
        <f t="shared" si="83"/>
        <v>0</v>
      </c>
      <c r="CR68" s="24">
        <f t="shared" si="83"/>
        <v>0</v>
      </c>
      <c r="CS68" s="24">
        <f t="shared" si="83"/>
        <v>0</v>
      </c>
      <c r="CT68" s="24">
        <f t="shared" si="83"/>
        <v>0</v>
      </c>
      <c r="CU68" s="24">
        <f t="shared" si="83"/>
        <v>0</v>
      </c>
      <c r="CV68" s="24">
        <f t="shared" si="84"/>
        <v>0</v>
      </c>
      <c r="CW68" s="24">
        <f t="shared" si="84"/>
        <v>0</v>
      </c>
      <c r="CX68" s="24">
        <f t="shared" si="84"/>
        <v>0</v>
      </c>
      <c r="CY68" s="24">
        <f t="shared" si="85"/>
        <v>0</v>
      </c>
      <c r="CZ68" s="24">
        <f t="shared" si="85"/>
        <v>0</v>
      </c>
      <c r="DA68" s="24">
        <f t="shared" si="85"/>
        <v>0</v>
      </c>
      <c r="DB68" s="24">
        <f t="shared" si="86"/>
        <v>0</v>
      </c>
      <c r="DC68" s="24">
        <f t="shared" si="86"/>
        <v>0</v>
      </c>
      <c r="DD68" s="24">
        <f t="shared" si="86"/>
        <v>0</v>
      </c>
      <c r="DE68" s="24"/>
      <c r="DF68" s="24">
        <f t="shared" si="87"/>
        <v>0</v>
      </c>
      <c r="DG68" s="54">
        <f t="shared" si="87"/>
        <v>0</v>
      </c>
      <c r="DH68" s="24">
        <f t="shared" si="87"/>
        <v>1541463</v>
      </c>
    </row>
    <row r="69" spans="1:112" ht="35.25" customHeight="1" x14ac:dyDescent="0.25">
      <c r="A69" s="237"/>
      <c r="B69" s="240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4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89"/>
        <v>0.60246900000000003</v>
      </c>
      <c r="AB69" s="24">
        <f t="shared" si="88"/>
        <v>602469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+'[4]DICIEMBRE 2016'!$G$4352</f>
        <v>602469</v>
      </c>
      <c r="AW69" s="25">
        <f t="shared" si="3"/>
        <v>0.39753099999999997</v>
      </c>
      <c r="AX69" s="24">
        <f t="shared" si="75"/>
        <v>397531</v>
      </c>
      <c r="AY69" s="24">
        <f t="shared" si="76"/>
        <v>0</v>
      </c>
      <c r="AZ69" s="24">
        <f t="shared" si="76"/>
        <v>0</v>
      </c>
      <c r="BA69" s="24">
        <f t="shared" si="76"/>
        <v>0</v>
      </c>
      <c r="BB69" s="24">
        <f t="shared" si="77"/>
        <v>0</v>
      </c>
      <c r="BC69" s="24">
        <f t="shared" si="77"/>
        <v>0</v>
      </c>
      <c r="BD69" s="24">
        <f t="shared" si="77"/>
        <v>0</v>
      </c>
      <c r="BE69" s="24">
        <f>+N69-AJ69</f>
        <v>0</v>
      </c>
      <c r="BF69" s="24">
        <f t="shared" si="77"/>
        <v>0</v>
      </c>
      <c r="BG69" s="24">
        <f t="shared" si="77"/>
        <v>0</v>
      </c>
      <c r="BH69" s="24">
        <f t="shared" si="77"/>
        <v>0</v>
      </c>
      <c r="BI69" s="24">
        <f t="shared" si="77"/>
        <v>0</v>
      </c>
      <c r="BJ69" s="24">
        <f t="shared" si="77"/>
        <v>0</v>
      </c>
      <c r="BK69" s="24">
        <f>+T69-AP69</f>
        <v>0</v>
      </c>
      <c r="BL69" s="24">
        <f t="shared" si="77"/>
        <v>0</v>
      </c>
      <c r="BM69" s="24">
        <f t="shared" si="77"/>
        <v>0</v>
      </c>
      <c r="BN69" s="24"/>
      <c r="BO69" s="24">
        <f>+X69-AT69</f>
        <v>0</v>
      </c>
      <c r="BP69" s="24">
        <f t="shared" si="78"/>
        <v>0</v>
      </c>
      <c r="BQ69" s="24">
        <f t="shared" si="79"/>
        <v>397531</v>
      </c>
      <c r="BR69" s="25">
        <f t="shared" si="90"/>
        <v>0.60246900000000003</v>
      </c>
      <c r="BS69" s="24">
        <f t="shared" si="80"/>
        <v>602469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+'[4]DICIEMBRE 2016'!$AG$4354</f>
        <v>602469</v>
      </c>
      <c r="CN69" s="25">
        <f t="shared" si="81"/>
        <v>0.39753099999999997</v>
      </c>
      <c r="CO69" s="24">
        <f t="shared" si="82"/>
        <v>397531</v>
      </c>
      <c r="CP69" s="24">
        <f t="shared" si="83"/>
        <v>0</v>
      </c>
      <c r="CQ69" s="24">
        <f t="shared" si="83"/>
        <v>0</v>
      </c>
      <c r="CR69" s="24">
        <f t="shared" si="83"/>
        <v>0</v>
      </c>
      <c r="CS69" s="24">
        <f t="shared" si="83"/>
        <v>0</v>
      </c>
      <c r="CT69" s="24">
        <f t="shared" si="83"/>
        <v>0</v>
      </c>
      <c r="CU69" s="24">
        <f t="shared" si="83"/>
        <v>0</v>
      </c>
      <c r="CV69" s="24">
        <f t="shared" si="84"/>
        <v>0</v>
      </c>
      <c r="CW69" s="24">
        <f t="shared" si="84"/>
        <v>0</v>
      </c>
      <c r="CX69" s="24">
        <f t="shared" si="84"/>
        <v>0</v>
      </c>
      <c r="CY69" s="24">
        <f t="shared" si="85"/>
        <v>0</v>
      </c>
      <c r="CZ69" s="24">
        <f t="shared" si="85"/>
        <v>0</v>
      </c>
      <c r="DA69" s="24">
        <f t="shared" si="85"/>
        <v>0</v>
      </c>
      <c r="DB69" s="24">
        <f t="shared" si="86"/>
        <v>0</v>
      </c>
      <c r="DC69" s="24">
        <f t="shared" si="86"/>
        <v>0</v>
      </c>
      <c r="DD69" s="24">
        <f t="shared" si="86"/>
        <v>0</v>
      </c>
      <c r="DE69" s="24"/>
      <c r="DF69" s="24">
        <f t="shared" si="87"/>
        <v>0</v>
      </c>
      <c r="DG69" s="54">
        <f t="shared" si="87"/>
        <v>0</v>
      </c>
      <c r="DH69" s="24">
        <f t="shared" si="87"/>
        <v>397531</v>
      </c>
    </row>
    <row r="70" spans="1:112" ht="76.5" customHeight="1" x14ac:dyDescent="0.25">
      <c r="A70" s="237"/>
      <c r="B70" s="240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4"/>
        <v>500018694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267022558+25000000+11804220+35899362+2954659+41266345-11804220+4000000+896074+17250000+7067000+8662696+46000000+11000000+3000000</f>
        <v>470018694</v>
      </c>
      <c r="AA70" s="25">
        <f t="shared" si="89"/>
        <v>0.9815855944777937</v>
      </c>
      <c r="AB70" s="24">
        <f t="shared" si="88"/>
        <v>490811147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+'[4]DICIEMBRE 2016'!$W$4361</f>
        <v>26900225</v>
      </c>
      <c r="AP70" s="24"/>
      <c r="AQ70" s="24"/>
      <c r="AR70" s="24"/>
      <c r="AS70" s="24"/>
      <c r="AT70" s="24"/>
      <c r="AU70" s="24"/>
      <c r="AV70" s="24">
        <f>+'[4]DICIEMBRE 2016'!$AG$4361</f>
        <v>463910922</v>
      </c>
      <c r="AW70" s="25">
        <f t="shared" ref="AW70:AW93" si="91">1-AA70</f>
        <v>1.8414405522206301E-2</v>
      </c>
      <c r="AX70" s="24">
        <f t="shared" si="75"/>
        <v>9207547</v>
      </c>
      <c r="AY70" s="24">
        <f t="shared" si="76"/>
        <v>0</v>
      </c>
      <c r="AZ70" s="24">
        <f t="shared" si="76"/>
        <v>0</v>
      </c>
      <c r="BA70" s="24">
        <f t="shared" si="76"/>
        <v>0</v>
      </c>
      <c r="BB70" s="24">
        <f t="shared" si="77"/>
        <v>0</v>
      </c>
      <c r="BC70" s="24">
        <f t="shared" si="77"/>
        <v>0</v>
      </c>
      <c r="BD70" s="24">
        <f t="shared" si="77"/>
        <v>0</v>
      </c>
      <c r="BE70" s="24">
        <f>+N70-AJ70</f>
        <v>0</v>
      </c>
      <c r="BF70" s="24">
        <f t="shared" si="77"/>
        <v>0</v>
      </c>
      <c r="BG70" s="24">
        <f t="shared" si="77"/>
        <v>0</v>
      </c>
      <c r="BH70" s="24">
        <f t="shared" si="77"/>
        <v>0</v>
      </c>
      <c r="BI70" s="24">
        <f t="shared" si="77"/>
        <v>0</v>
      </c>
      <c r="BJ70" s="24">
        <f t="shared" si="77"/>
        <v>3099775</v>
      </c>
      <c r="BK70" s="24">
        <f>+T70-AP70</f>
        <v>0</v>
      </c>
      <c r="BL70" s="24">
        <f t="shared" si="77"/>
        <v>0</v>
      </c>
      <c r="BM70" s="24">
        <f t="shared" si="77"/>
        <v>0</v>
      </c>
      <c r="BN70" s="24"/>
      <c r="BO70" s="24"/>
      <c r="BP70" s="24">
        <f t="shared" si="78"/>
        <v>0</v>
      </c>
      <c r="BQ70" s="24">
        <f t="shared" si="79"/>
        <v>6107772</v>
      </c>
      <c r="BR70" s="25">
        <f t="shared" si="90"/>
        <v>0.9815855944777937</v>
      </c>
      <c r="BS70" s="24">
        <f t="shared" si="80"/>
        <v>490811147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+'[4]DICIEMBRE 2016'!$W$4361</f>
        <v>26900225</v>
      </c>
      <c r="CG70" s="24"/>
      <c r="CH70" s="24"/>
      <c r="CI70" s="24"/>
      <c r="CJ70" s="24"/>
      <c r="CK70" s="24"/>
      <c r="CL70" s="24"/>
      <c r="CM70" s="24">
        <f>+'[4]DICIEMBRE 2016'!$AG$4361</f>
        <v>463910922</v>
      </c>
      <c r="CN70" s="25">
        <f t="shared" si="81"/>
        <v>1.8414405522206301E-2</v>
      </c>
      <c r="CO70" s="24">
        <f t="shared" si="82"/>
        <v>9207547</v>
      </c>
      <c r="CP70" s="24">
        <f t="shared" si="83"/>
        <v>0</v>
      </c>
      <c r="CQ70" s="24">
        <f t="shared" si="83"/>
        <v>0</v>
      </c>
      <c r="CR70" s="24">
        <f t="shared" si="83"/>
        <v>0</v>
      </c>
      <c r="CS70" s="24">
        <f t="shared" si="83"/>
        <v>0</v>
      </c>
      <c r="CT70" s="24">
        <f t="shared" si="83"/>
        <v>0</v>
      </c>
      <c r="CU70" s="24">
        <f t="shared" si="83"/>
        <v>0</v>
      </c>
      <c r="CV70" s="24">
        <f t="shared" si="84"/>
        <v>0</v>
      </c>
      <c r="CW70" s="24">
        <f t="shared" si="84"/>
        <v>0</v>
      </c>
      <c r="CX70" s="24">
        <f t="shared" si="84"/>
        <v>0</v>
      </c>
      <c r="CY70" s="24">
        <f t="shared" si="85"/>
        <v>0</v>
      </c>
      <c r="CZ70" s="24">
        <f t="shared" si="85"/>
        <v>0</v>
      </c>
      <c r="DA70" s="24">
        <f t="shared" si="85"/>
        <v>3099775</v>
      </c>
      <c r="DB70" s="24">
        <f t="shared" si="86"/>
        <v>0</v>
      </c>
      <c r="DC70" s="24">
        <f t="shared" si="86"/>
        <v>0</v>
      </c>
      <c r="DD70" s="24">
        <f t="shared" si="86"/>
        <v>0</v>
      </c>
      <c r="DE70" s="24"/>
      <c r="DF70" s="24">
        <f t="shared" si="87"/>
        <v>0</v>
      </c>
      <c r="DG70" s="54">
        <f t="shared" si="87"/>
        <v>0</v>
      </c>
      <c r="DH70" s="24">
        <f t="shared" si="87"/>
        <v>6107772</v>
      </c>
    </row>
    <row r="71" spans="1:112" ht="36" customHeight="1" x14ac:dyDescent="0.25">
      <c r="A71" s="237"/>
      <c r="B71" s="240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4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89"/>
        <v>0.33956819999999999</v>
      </c>
      <c r="AB71" s="24">
        <f t="shared" si="88"/>
        <v>6791364</v>
      </c>
      <c r="AC71" s="24"/>
      <c r="AD71" s="24"/>
      <c r="AE71" s="24"/>
      <c r="AF71" s="24"/>
      <c r="AG71" s="24">
        <f>+'[4]DICIEMBRE 2016'!$O$4526</f>
        <v>6791364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1"/>
        <v>0.66043180000000001</v>
      </c>
      <c r="AX71" s="24">
        <f t="shared" si="75"/>
        <v>13208636</v>
      </c>
      <c r="AY71" s="24">
        <f t="shared" si="76"/>
        <v>0</v>
      </c>
      <c r="AZ71" s="24">
        <f t="shared" si="76"/>
        <v>0</v>
      </c>
      <c r="BA71" s="24">
        <f t="shared" si="76"/>
        <v>0</v>
      </c>
      <c r="BB71" s="24">
        <f t="shared" si="76"/>
        <v>13208636</v>
      </c>
      <c r="BC71" s="24">
        <f t="shared" si="76"/>
        <v>0</v>
      </c>
      <c r="BD71" s="24">
        <f t="shared" si="76"/>
        <v>0</v>
      </c>
      <c r="BE71" s="24">
        <f t="shared" si="76"/>
        <v>0</v>
      </c>
      <c r="BF71" s="24">
        <f t="shared" si="76"/>
        <v>0</v>
      </c>
      <c r="BG71" s="24">
        <f t="shared" si="76"/>
        <v>0</v>
      </c>
      <c r="BH71" s="24">
        <f t="shared" si="76"/>
        <v>0</v>
      </c>
      <c r="BI71" s="24">
        <f t="shared" si="76"/>
        <v>0</v>
      </c>
      <c r="BJ71" s="24">
        <f t="shared" si="76"/>
        <v>0</v>
      </c>
      <c r="BK71" s="24">
        <f t="shared" si="76"/>
        <v>0</v>
      </c>
      <c r="BL71" s="24">
        <f t="shared" si="76"/>
        <v>0</v>
      </c>
      <c r="BM71" s="24">
        <f t="shared" si="76"/>
        <v>0</v>
      </c>
      <c r="BN71" s="24"/>
      <c r="BO71" s="24">
        <f>X71-AT71</f>
        <v>0</v>
      </c>
      <c r="BP71" s="24">
        <f t="shared" si="78"/>
        <v>0</v>
      </c>
      <c r="BQ71" s="24">
        <f>Z71-AV71</f>
        <v>0</v>
      </c>
      <c r="BR71" s="25">
        <f t="shared" si="90"/>
        <v>0.33956819999999999</v>
      </c>
      <c r="BS71" s="24">
        <f t="shared" si="80"/>
        <v>6791364</v>
      </c>
      <c r="BT71" s="24"/>
      <c r="BU71" s="24"/>
      <c r="BV71" s="24"/>
      <c r="BW71" s="24"/>
      <c r="BX71" s="24">
        <f>+'[4]DICIEMBRE 2016'!$H$4524</f>
        <v>6791364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81"/>
        <v>0.66043180000000001</v>
      </c>
      <c r="CO71" s="24">
        <f t="shared" si="82"/>
        <v>13208636</v>
      </c>
      <c r="CP71" s="24">
        <f t="shared" si="83"/>
        <v>0</v>
      </c>
      <c r="CQ71" s="24">
        <f t="shared" si="83"/>
        <v>0</v>
      </c>
      <c r="CR71" s="24">
        <f t="shared" si="83"/>
        <v>0</v>
      </c>
      <c r="CS71" s="24">
        <f t="shared" si="83"/>
        <v>13208636</v>
      </c>
      <c r="CT71" s="24">
        <f t="shared" si="83"/>
        <v>0</v>
      </c>
      <c r="CU71" s="24">
        <f t="shared" si="83"/>
        <v>0</v>
      </c>
      <c r="CV71" s="24">
        <f t="shared" si="83"/>
        <v>0</v>
      </c>
      <c r="CW71" s="24">
        <f t="shared" si="83"/>
        <v>0</v>
      </c>
      <c r="CX71" s="24">
        <f t="shared" si="83"/>
        <v>0</v>
      </c>
      <c r="CY71" s="24">
        <f t="shared" si="85"/>
        <v>0</v>
      </c>
      <c r="CZ71" s="24">
        <f t="shared" si="85"/>
        <v>0</v>
      </c>
      <c r="DA71" s="24">
        <f t="shared" si="85"/>
        <v>0</v>
      </c>
      <c r="DB71" s="24">
        <f t="shared" si="85"/>
        <v>0</v>
      </c>
      <c r="DC71" s="24">
        <f t="shared" si="85"/>
        <v>0</v>
      </c>
      <c r="DD71" s="24">
        <f t="shared" si="85"/>
        <v>0</v>
      </c>
      <c r="DE71" s="24"/>
      <c r="DF71" s="24">
        <f t="shared" ref="DF71:DH72" si="92">X71-CK71</f>
        <v>0</v>
      </c>
      <c r="DG71" s="24">
        <f t="shared" si="92"/>
        <v>0</v>
      </c>
      <c r="DH71" s="24">
        <f t="shared" si="92"/>
        <v>0</v>
      </c>
    </row>
    <row r="72" spans="1:112" ht="34.5" customHeight="1" x14ac:dyDescent="0.25">
      <c r="A72" s="238"/>
      <c r="B72" s="241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4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89"/>
        <v>0.92382905000000004</v>
      </c>
      <c r="AB72" s="24">
        <f t="shared" si="88"/>
        <v>18476581</v>
      </c>
      <c r="AC72" s="24"/>
      <c r="AD72" s="24"/>
      <c r="AE72" s="24"/>
      <c r="AF72" s="24"/>
      <c r="AG72" s="24">
        <f>+'[2]DICIEMBRE 2016'!$O$4535</f>
        <v>18476581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1"/>
        <v>7.617094999999996E-2</v>
      </c>
      <c r="AX72" s="24">
        <f t="shared" si="75"/>
        <v>1523419</v>
      </c>
      <c r="AY72" s="24">
        <f t="shared" si="76"/>
        <v>0</v>
      </c>
      <c r="AZ72" s="24">
        <f t="shared" si="76"/>
        <v>0</v>
      </c>
      <c r="BA72" s="24">
        <f t="shared" si="76"/>
        <v>0</v>
      </c>
      <c r="BB72" s="24">
        <f t="shared" si="76"/>
        <v>1523419</v>
      </c>
      <c r="BC72" s="24">
        <f t="shared" si="76"/>
        <v>0</v>
      </c>
      <c r="BD72" s="24">
        <f t="shared" si="76"/>
        <v>0</v>
      </c>
      <c r="BE72" s="24">
        <f t="shared" si="76"/>
        <v>0</v>
      </c>
      <c r="BF72" s="24">
        <f t="shared" si="76"/>
        <v>0</v>
      </c>
      <c r="BG72" s="24">
        <f t="shared" si="76"/>
        <v>0</v>
      </c>
      <c r="BH72" s="24">
        <f t="shared" si="76"/>
        <v>0</v>
      </c>
      <c r="BI72" s="24">
        <f t="shared" si="76"/>
        <v>0</v>
      </c>
      <c r="BJ72" s="24">
        <f t="shared" si="76"/>
        <v>0</v>
      </c>
      <c r="BK72" s="24">
        <f t="shared" si="76"/>
        <v>0</v>
      </c>
      <c r="BL72" s="24">
        <f t="shared" si="76"/>
        <v>0</v>
      </c>
      <c r="BM72" s="24">
        <f t="shared" si="76"/>
        <v>0</v>
      </c>
      <c r="BN72" s="24"/>
      <c r="BO72" s="24">
        <f>X72-AT72</f>
        <v>0</v>
      </c>
      <c r="BP72" s="24">
        <f t="shared" si="78"/>
        <v>0</v>
      </c>
      <c r="BQ72" s="24">
        <f>Z72-AV72</f>
        <v>0</v>
      </c>
      <c r="BR72" s="25">
        <f t="shared" si="90"/>
        <v>0.92382905000000004</v>
      </c>
      <c r="BS72" s="24">
        <f t="shared" si="80"/>
        <v>18476581</v>
      </c>
      <c r="BT72" s="24"/>
      <c r="BU72" s="24"/>
      <c r="BV72" s="24"/>
      <c r="BW72" s="24"/>
      <c r="BX72" s="24">
        <f>+'[10]SEPTIEMBRE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81"/>
        <v>7.617094999999996E-2</v>
      </c>
      <c r="CO72" s="24">
        <f t="shared" si="82"/>
        <v>1523419</v>
      </c>
      <c r="CP72" s="24">
        <f t="shared" si="83"/>
        <v>0</v>
      </c>
      <c r="CQ72" s="24">
        <f t="shared" si="83"/>
        <v>0</v>
      </c>
      <c r="CR72" s="24">
        <f t="shared" si="83"/>
        <v>0</v>
      </c>
      <c r="CS72" s="24">
        <f t="shared" si="83"/>
        <v>1523419</v>
      </c>
      <c r="CT72" s="24">
        <f t="shared" si="83"/>
        <v>0</v>
      </c>
      <c r="CU72" s="24">
        <f t="shared" si="83"/>
        <v>0</v>
      </c>
      <c r="CV72" s="24">
        <f t="shared" si="83"/>
        <v>0</v>
      </c>
      <c r="CW72" s="24">
        <f t="shared" si="83"/>
        <v>0</v>
      </c>
      <c r="CX72" s="24">
        <f t="shared" si="83"/>
        <v>0</v>
      </c>
      <c r="CY72" s="24">
        <f t="shared" si="85"/>
        <v>0</v>
      </c>
      <c r="CZ72" s="24">
        <f t="shared" si="85"/>
        <v>0</v>
      </c>
      <c r="DA72" s="24">
        <f t="shared" si="85"/>
        <v>0</v>
      </c>
      <c r="DB72" s="24">
        <f t="shared" si="85"/>
        <v>0</v>
      </c>
      <c r="DC72" s="24">
        <f t="shared" si="85"/>
        <v>0</v>
      </c>
      <c r="DD72" s="24">
        <f t="shared" si="85"/>
        <v>0</v>
      </c>
      <c r="DE72" s="24"/>
      <c r="DF72" s="24">
        <f t="shared" si="92"/>
        <v>0</v>
      </c>
      <c r="DG72" s="24">
        <f t="shared" si="92"/>
        <v>0</v>
      </c>
      <c r="DH72" s="24">
        <f t="shared" si="92"/>
        <v>0</v>
      </c>
    </row>
    <row r="73" spans="1:112" ht="33" customHeight="1" x14ac:dyDescent="0.25">
      <c r="A73" s="236" t="s">
        <v>183</v>
      </c>
      <c r="B73" s="250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3">SUM(H73:Z73)</f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89"/>
        <v>0.93945000000000001</v>
      </c>
      <c r="AB73" s="24">
        <f t="shared" si="88"/>
        <v>9394500</v>
      </c>
      <c r="AC73" s="24"/>
      <c r="AD73" s="24"/>
      <c r="AE73" s="24"/>
      <c r="AF73" s="24"/>
      <c r="AG73" s="24">
        <f>+'[2]DICIEMBRE 2016'!$O$4551</f>
        <v>9394500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1"/>
        <v>6.0549999999999993E-2</v>
      </c>
      <c r="AX73" s="24">
        <f t="shared" si="75"/>
        <v>605500</v>
      </c>
      <c r="AY73" s="24">
        <f t="shared" si="76"/>
        <v>0</v>
      </c>
      <c r="AZ73" s="24">
        <f t="shared" si="76"/>
        <v>0</v>
      </c>
      <c r="BA73" s="24">
        <f t="shared" si="76"/>
        <v>0</v>
      </c>
      <c r="BB73" s="24">
        <f t="shared" ref="BB73:BM88" si="94">+K73-AG73</f>
        <v>605500</v>
      </c>
      <c r="BC73" s="24">
        <f t="shared" si="94"/>
        <v>0</v>
      </c>
      <c r="BD73" s="24">
        <f t="shared" si="94"/>
        <v>0</v>
      </c>
      <c r="BE73" s="24">
        <f t="shared" si="94"/>
        <v>0</v>
      </c>
      <c r="BF73" s="24">
        <f t="shared" si="94"/>
        <v>0</v>
      </c>
      <c r="BG73" s="24">
        <f t="shared" si="94"/>
        <v>0</v>
      </c>
      <c r="BH73" s="24">
        <f t="shared" si="94"/>
        <v>0</v>
      </c>
      <c r="BI73" s="24">
        <f t="shared" si="94"/>
        <v>0</v>
      </c>
      <c r="BJ73" s="24">
        <f t="shared" si="94"/>
        <v>0</v>
      </c>
      <c r="BK73" s="24">
        <f t="shared" si="94"/>
        <v>0</v>
      </c>
      <c r="BL73" s="24">
        <f t="shared" si="94"/>
        <v>0</v>
      </c>
      <c r="BM73" s="24">
        <f t="shared" si="94"/>
        <v>0</v>
      </c>
      <c r="BN73" s="24"/>
      <c r="BO73" s="24"/>
      <c r="BP73" s="24">
        <f t="shared" si="78"/>
        <v>0</v>
      </c>
      <c r="BQ73" s="24">
        <f t="shared" ref="BQ73:BQ92" si="95">+Z73-AV73</f>
        <v>0</v>
      </c>
      <c r="BR73" s="25">
        <f t="shared" si="90"/>
        <v>0.93945000000000001</v>
      </c>
      <c r="BS73" s="24">
        <f t="shared" si="80"/>
        <v>9394500</v>
      </c>
      <c r="BT73" s="24"/>
      <c r="BU73" s="24"/>
      <c r="BV73" s="24"/>
      <c r="BW73" s="24"/>
      <c r="BX73" s="24">
        <f>+'[2]DICIEMBRE 2016'!$H$4549</f>
        <v>9394500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81"/>
        <v>6.0549999999999993E-2</v>
      </c>
      <c r="CO73" s="24">
        <f t="shared" si="82"/>
        <v>605500</v>
      </c>
      <c r="CP73" s="24">
        <f t="shared" si="83"/>
        <v>0</v>
      </c>
      <c r="CQ73" s="24">
        <f t="shared" si="83"/>
        <v>0</v>
      </c>
      <c r="CR73" s="24">
        <f t="shared" si="83"/>
        <v>0</v>
      </c>
      <c r="CS73" s="24">
        <f t="shared" si="83"/>
        <v>605500</v>
      </c>
      <c r="CT73" s="24">
        <f t="shared" si="83"/>
        <v>0</v>
      </c>
      <c r="CU73" s="24">
        <f t="shared" si="83"/>
        <v>0</v>
      </c>
      <c r="CV73" s="24">
        <f t="shared" ref="CV73:CX75" si="96">+N73-CA73</f>
        <v>0</v>
      </c>
      <c r="CW73" s="24">
        <f t="shared" si="96"/>
        <v>0</v>
      </c>
      <c r="CX73" s="24">
        <f t="shared" si="96"/>
        <v>0</v>
      </c>
      <c r="CY73" s="24">
        <f t="shared" si="85"/>
        <v>0</v>
      </c>
      <c r="CZ73" s="24">
        <f t="shared" si="85"/>
        <v>0</v>
      </c>
      <c r="DA73" s="24">
        <f t="shared" si="85"/>
        <v>0</v>
      </c>
      <c r="DB73" s="24">
        <f t="shared" ref="DB73:DD84" si="97">+T73-CG73</f>
        <v>0</v>
      </c>
      <c r="DC73" s="24">
        <f t="shared" si="97"/>
        <v>0</v>
      </c>
      <c r="DD73" s="24">
        <f t="shared" si="97"/>
        <v>0</v>
      </c>
      <c r="DE73" s="24"/>
      <c r="DF73" s="24">
        <f t="shared" ref="DF73:DH84" si="98">+X73-CK73</f>
        <v>0</v>
      </c>
      <c r="DG73" s="54">
        <f t="shared" si="98"/>
        <v>0</v>
      </c>
      <c r="DH73" s="24">
        <f t="shared" si="98"/>
        <v>0</v>
      </c>
    </row>
    <row r="74" spans="1:112" ht="35.25" customHeight="1" x14ac:dyDescent="0.25">
      <c r="A74" s="237"/>
      <c r="B74" s="251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3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89"/>
        <v>1</v>
      </c>
      <c r="AB74" s="24">
        <f t="shared" si="88"/>
        <v>17970750</v>
      </c>
      <c r="AC74" s="24"/>
      <c r="AD74" s="24"/>
      <c r="AE74" s="24"/>
      <c r="AF74" s="24"/>
      <c r="AG74" s="24">
        <f>+'[9]AGOSTO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1"/>
        <v>0</v>
      </c>
      <c r="AX74" s="24">
        <f t="shared" si="75"/>
        <v>0</v>
      </c>
      <c r="AY74" s="24">
        <f t="shared" si="76"/>
        <v>0</v>
      </c>
      <c r="AZ74" s="24">
        <f t="shared" si="76"/>
        <v>0</v>
      </c>
      <c r="BA74" s="24">
        <f t="shared" si="76"/>
        <v>0</v>
      </c>
      <c r="BB74" s="24">
        <f t="shared" si="94"/>
        <v>0</v>
      </c>
      <c r="BC74" s="24">
        <f t="shared" si="94"/>
        <v>0</v>
      </c>
      <c r="BD74" s="24">
        <f t="shared" si="94"/>
        <v>0</v>
      </c>
      <c r="BE74" s="24">
        <f t="shared" si="94"/>
        <v>0</v>
      </c>
      <c r="BF74" s="24">
        <f t="shared" si="94"/>
        <v>0</v>
      </c>
      <c r="BG74" s="24">
        <f t="shared" si="94"/>
        <v>0</v>
      </c>
      <c r="BH74" s="24">
        <f t="shared" si="94"/>
        <v>0</v>
      </c>
      <c r="BI74" s="24">
        <f t="shared" si="94"/>
        <v>0</v>
      </c>
      <c r="BJ74" s="24">
        <f t="shared" si="94"/>
        <v>0</v>
      </c>
      <c r="BK74" s="24">
        <f t="shared" si="94"/>
        <v>0</v>
      </c>
      <c r="BL74" s="24">
        <f t="shared" si="94"/>
        <v>0</v>
      </c>
      <c r="BM74" s="24">
        <f t="shared" si="94"/>
        <v>0</v>
      </c>
      <c r="BN74" s="24"/>
      <c r="BO74" s="24"/>
      <c r="BP74" s="24">
        <f t="shared" si="78"/>
        <v>0</v>
      </c>
      <c r="BQ74" s="24">
        <f t="shared" si="95"/>
        <v>0</v>
      </c>
      <c r="BR74" s="25">
        <f t="shared" si="90"/>
        <v>1</v>
      </c>
      <c r="BS74" s="24">
        <f t="shared" si="80"/>
        <v>17970750</v>
      </c>
      <c r="BT74" s="24"/>
      <c r="BU74" s="24"/>
      <c r="BV74" s="24"/>
      <c r="BW74" s="24"/>
      <c r="BX74" s="24">
        <f>+'[3]ENERO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81"/>
        <v>0</v>
      </c>
      <c r="CO74" s="24">
        <f t="shared" si="82"/>
        <v>0</v>
      </c>
      <c r="CP74" s="24">
        <f t="shared" si="83"/>
        <v>0</v>
      </c>
      <c r="CQ74" s="24">
        <f t="shared" si="83"/>
        <v>0</v>
      </c>
      <c r="CR74" s="24">
        <f t="shared" si="83"/>
        <v>0</v>
      </c>
      <c r="CS74" s="24">
        <f t="shared" si="83"/>
        <v>0</v>
      </c>
      <c r="CT74" s="24">
        <f t="shared" si="83"/>
        <v>0</v>
      </c>
      <c r="CU74" s="24">
        <f t="shared" si="83"/>
        <v>0</v>
      </c>
      <c r="CV74" s="24">
        <f t="shared" si="96"/>
        <v>0</v>
      </c>
      <c r="CW74" s="24">
        <f t="shared" si="96"/>
        <v>0</v>
      </c>
      <c r="CX74" s="24">
        <f t="shared" si="96"/>
        <v>0</v>
      </c>
      <c r="CY74" s="24">
        <f t="shared" si="85"/>
        <v>0</v>
      </c>
      <c r="CZ74" s="24">
        <f t="shared" si="85"/>
        <v>0</v>
      </c>
      <c r="DA74" s="24">
        <f t="shared" si="85"/>
        <v>0</v>
      </c>
      <c r="DB74" s="24">
        <f t="shared" si="97"/>
        <v>0</v>
      </c>
      <c r="DC74" s="24">
        <f t="shared" si="97"/>
        <v>0</v>
      </c>
      <c r="DD74" s="24">
        <f t="shared" si="97"/>
        <v>0</v>
      </c>
      <c r="DE74" s="24"/>
      <c r="DF74" s="24">
        <f t="shared" si="98"/>
        <v>0</v>
      </c>
      <c r="DG74" s="54">
        <f t="shared" si="98"/>
        <v>0</v>
      </c>
      <c r="DH74" s="24">
        <f t="shared" si="98"/>
        <v>0</v>
      </c>
    </row>
    <row r="75" spans="1:112" ht="33.75" customHeight="1" x14ac:dyDescent="0.25">
      <c r="A75" s="237"/>
      <c r="B75" s="251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3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89"/>
        <v>1</v>
      </c>
      <c r="AB75" s="24">
        <f t="shared" si="88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+'[13]ABRIL 2016'!$G$1547</f>
        <v>1000000</v>
      </c>
      <c r="AW75" s="25">
        <f t="shared" si="91"/>
        <v>0</v>
      </c>
      <c r="AX75" s="24">
        <f t="shared" si="75"/>
        <v>0</v>
      </c>
      <c r="AY75" s="24">
        <f t="shared" si="76"/>
        <v>0</v>
      </c>
      <c r="AZ75" s="24">
        <f t="shared" si="76"/>
        <v>0</v>
      </c>
      <c r="BA75" s="24">
        <f t="shared" si="76"/>
        <v>0</v>
      </c>
      <c r="BB75" s="24">
        <f t="shared" si="94"/>
        <v>0</v>
      </c>
      <c r="BC75" s="24">
        <f t="shared" si="94"/>
        <v>0</v>
      </c>
      <c r="BD75" s="24">
        <f t="shared" si="94"/>
        <v>0</v>
      </c>
      <c r="BE75" s="24">
        <f t="shared" si="94"/>
        <v>0</v>
      </c>
      <c r="BF75" s="24">
        <f t="shared" si="94"/>
        <v>0</v>
      </c>
      <c r="BG75" s="24">
        <f t="shared" si="94"/>
        <v>0</v>
      </c>
      <c r="BH75" s="24">
        <f t="shared" si="94"/>
        <v>0</v>
      </c>
      <c r="BI75" s="24">
        <f t="shared" si="94"/>
        <v>0</v>
      </c>
      <c r="BJ75" s="24">
        <f t="shared" si="94"/>
        <v>0</v>
      </c>
      <c r="BK75" s="24">
        <f t="shared" si="94"/>
        <v>0</v>
      </c>
      <c r="BL75" s="24">
        <f t="shared" si="94"/>
        <v>0</v>
      </c>
      <c r="BM75" s="24">
        <f t="shared" si="94"/>
        <v>0</v>
      </c>
      <c r="BN75" s="24"/>
      <c r="BO75" s="24"/>
      <c r="BP75" s="24">
        <f t="shared" si="78"/>
        <v>0</v>
      </c>
      <c r="BQ75" s="24">
        <f t="shared" si="95"/>
        <v>0</v>
      </c>
      <c r="BR75" s="25">
        <f t="shared" si="90"/>
        <v>1</v>
      </c>
      <c r="BS75" s="24">
        <f t="shared" si="80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+'[13]ABRIL 2016'!$H$1547</f>
        <v>1000000</v>
      </c>
      <c r="CN75" s="25">
        <f t="shared" si="81"/>
        <v>0</v>
      </c>
      <c r="CO75" s="24">
        <f t="shared" si="82"/>
        <v>0</v>
      </c>
      <c r="CP75" s="24">
        <f t="shared" si="83"/>
        <v>0</v>
      </c>
      <c r="CQ75" s="24">
        <f t="shared" si="83"/>
        <v>0</v>
      </c>
      <c r="CR75" s="24">
        <f t="shared" si="83"/>
        <v>0</v>
      </c>
      <c r="CS75" s="24">
        <f t="shared" si="83"/>
        <v>0</v>
      </c>
      <c r="CT75" s="24">
        <f t="shared" si="83"/>
        <v>0</v>
      </c>
      <c r="CU75" s="24">
        <f t="shared" si="83"/>
        <v>0</v>
      </c>
      <c r="CV75" s="24">
        <f t="shared" si="96"/>
        <v>0</v>
      </c>
      <c r="CW75" s="24">
        <f t="shared" si="96"/>
        <v>0</v>
      </c>
      <c r="CX75" s="24">
        <f t="shared" si="96"/>
        <v>0</v>
      </c>
      <c r="CY75" s="24">
        <f t="shared" si="85"/>
        <v>0</v>
      </c>
      <c r="CZ75" s="24">
        <f t="shared" si="85"/>
        <v>0</v>
      </c>
      <c r="DA75" s="24">
        <f t="shared" si="85"/>
        <v>0</v>
      </c>
      <c r="DB75" s="24">
        <f t="shared" si="97"/>
        <v>0</v>
      </c>
      <c r="DC75" s="24">
        <f t="shared" si="97"/>
        <v>0</v>
      </c>
      <c r="DD75" s="24">
        <f t="shared" si="97"/>
        <v>0</v>
      </c>
      <c r="DE75" s="24"/>
      <c r="DF75" s="24">
        <f t="shared" si="98"/>
        <v>0</v>
      </c>
      <c r="DG75" s="54">
        <f t="shared" si="98"/>
        <v>0</v>
      </c>
      <c r="DH75" s="24">
        <f t="shared" si="98"/>
        <v>0</v>
      </c>
    </row>
    <row r="76" spans="1:112" ht="33" customHeight="1" x14ac:dyDescent="0.25">
      <c r="A76" s="237"/>
      <c r="B76" s="251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3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89"/>
        <v>#DIV/0!</v>
      </c>
      <c r="AB76" s="24">
        <f t="shared" si="88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1"/>
        <v>#DIV/0!</v>
      </c>
      <c r="AX76" s="24">
        <f t="shared" si="75"/>
        <v>0</v>
      </c>
      <c r="AY76" s="24">
        <f t="shared" si="76"/>
        <v>0</v>
      </c>
      <c r="AZ76" s="24">
        <f t="shared" si="76"/>
        <v>0</v>
      </c>
      <c r="BA76" s="24">
        <f t="shared" si="76"/>
        <v>0</v>
      </c>
      <c r="BB76" s="24">
        <f t="shared" si="94"/>
        <v>0</v>
      </c>
      <c r="BC76" s="24"/>
      <c r="BD76" s="24"/>
      <c r="BE76" s="24"/>
      <c r="BF76" s="24"/>
      <c r="BG76" s="24"/>
      <c r="BH76" s="24">
        <f t="shared" si="94"/>
        <v>0</v>
      </c>
      <c r="BI76" s="24">
        <f t="shared" si="94"/>
        <v>0</v>
      </c>
      <c r="BJ76" s="24">
        <f t="shared" si="94"/>
        <v>0</v>
      </c>
      <c r="BK76" s="24"/>
      <c r="BL76" s="24">
        <f t="shared" si="94"/>
        <v>0</v>
      </c>
      <c r="BM76" s="24">
        <f t="shared" si="94"/>
        <v>0</v>
      </c>
      <c r="BN76" s="24"/>
      <c r="BO76" s="24"/>
      <c r="BP76" s="24">
        <f t="shared" si="78"/>
        <v>0</v>
      </c>
      <c r="BQ76" s="24">
        <f t="shared" si="95"/>
        <v>0</v>
      </c>
      <c r="BR76" s="25" t="e">
        <f t="shared" si="90"/>
        <v>#DIV/0!</v>
      </c>
      <c r="BS76" s="24">
        <f t="shared" si="80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81"/>
        <v>#DIV/0!</v>
      </c>
      <c r="CO76" s="24">
        <f t="shared" si="82"/>
        <v>0</v>
      </c>
      <c r="CP76" s="24">
        <f t="shared" si="83"/>
        <v>0</v>
      </c>
      <c r="CQ76" s="24">
        <f t="shared" si="83"/>
        <v>0</v>
      </c>
      <c r="CR76" s="24">
        <f t="shared" si="83"/>
        <v>0</v>
      </c>
      <c r="CS76" s="24">
        <f t="shared" si="83"/>
        <v>0</v>
      </c>
      <c r="CT76" s="24"/>
      <c r="CU76" s="24"/>
      <c r="CV76" s="24"/>
      <c r="CW76" s="24"/>
      <c r="CX76" s="24"/>
      <c r="CY76" s="24">
        <f t="shared" si="85"/>
        <v>0</v>
      </c>
      <c r="CZ76" s="24">
        <f t="shared" si="85"/>
        <v>0</v>
      </c>
      <c r="DA76" s="24">
        <f t="shared" si="85"/>
        <v>0</v>
      </c>
      <c r="DB76" s="24">
        <f t="shared" si="97"/>
        <v>0</v>
      </c>
      <c r="DC76" s="24">
        <f t="shared" si="97"/>
        <v>0</v>
      </c>
      <c r="DD76" s="24">
        <f t="shared" si="97"/>
        <v>0</v>
      </c>
      <c r="DE76" s="24"/>
      <c r="DF76" s="24"/>
      <c r="DG76" s="54"/>
      <c r="DH76" s="24">
        <f t="shared" si="98"/>
        <v>0</v>
      </c>
    </row>
    <row r="77" spans="1:112" ht="30" x14ac:dyDescent="0.25">
      <c r="A77" s="237"/>
      <c r="B77" s="251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3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89"/>
        <v>#DIV/0!</v>
      </c>
      <c r="AB77" s="24">
        <f t="shared" si="88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1"/>
        <v>#DIV/0!</v>
      </c>
      <c r="AX77" s="24">
        <f t="shared" si="75"/>
        <v>0</v>
      </c>
      <c r="AY77" s="24">
        <f t="shared" si="76"/>
        <v>0</v>
      </c>
      <c r="AZ77" s="24">
        <f t="shared" si="76"/>
        <v>0</v>
      </c>
      <c r="BA77" s="24">
        <f t="shared" si="76"/>
        <v>0</v>
      </c>
      <c r="BB77" s="24">
        <f t="shared" si="94"/>
        <v>0</v>
      </c>
      <c r="BC77" s="24"/>
      <c r="BD77" s="24"/>
      <c r="BE77" s="24"/>
      <c r="BF77" s="24"/>
      <c r="BG77" s="24"/>
      <c r="BH77" s="24">
        <f t="shared" si="94"/>
        <v>0</v>
      </c>
      <c r="BI77" s="24">
        <f t="shared" si="94"/>
        <v>0</v>
      </c>
      <c r="BJ77" s="24">
        <f t="shared" si="94"/>
        <v>0</v>
      </c>
      <c r="BK77" s="24"/>
      <c r="BL77" s="24">
        <f t="shared" si="94"/>
        <v>0</v>
      </c>
      <c r="BM77" s="24">
        <f t="shared" si="94"/>
        <v>0</v>
      </c>
      <c r="BN77" s="24"/>
      <c r="BO77" s="24"/>
      <c r="BP77" s="24">
        <f t="shared" si="78"/>
        <v>0</v>
      </c>
      <c r="BQ77" s="24">
        <f t="shared" si="95"/>
        <v>0</v>
      </c>
      <c r="BR77" s="25" t="e">
        <f t="shared" si="90"/>
        <v>#DIV/0!</v>
      </c>
      <c r="BS77" s="24">
        <f t="shared" si="80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81"/>
        <v>#DIV/0!</v>
      </c>
      <c r="CO77" s="24">
        <f t="shared" si="82"/>
        <v>0</v>
      </c>
      <c r="CP77" s="24">
        <f t="shared" ref="CP77:CU92" si="99">H77-BU77</f>
        <v>0</v>
      </c>
      <c r="CQ77" s="24">
        <f t="shared" si="99"/>
        <v>0</v>
      </c>
      <c r="CR77" s="24">
        <f t="shared" si="99"/>
        <v>0</v>
      </c>
      <c r="CS77" s="24">
        <f t="shared" si="99"/>
        <v>0</v>
      </c>
      <c r="CT77" s="24"/>
      <c r="CU77" s="24"/>
      <c r="CV77" s="24"/>
      <c r="CW77" s="24"/>
      <c r="CX77" s="24"/>
      <c r="CY77" s="24">
        <f t="shared" si="85"/>
        <v>0</v>
      </c>
      <c r="CZ77" s="24">
        <f t="shared" si="85"/>
        <v>0</v>
      </c>
      <c r="DA77" s="24">
        <f t="shared" si="85"/>
        <v>0</v>
      </c>
      <c r="DB77" s="24">
        <f t="shared" si="97"/>
        <v>0</v>
      </c>
      <c r="DC77" s="24">
        <f t="shared" si="97"/>
        <v>0</v>
      </c>
      <c r="DD77" s="24">
        <f t="shared" si="97"/>
        <v>0</v>
      </c>
      <c r="DE77" s="24"/>
      <c r="DF77" s="24"/>
      <c r="DG77" s="54"/>
      <c r="DH77" s="24">
        <f t="shared" si="98"/>
        <v>0</v>
      </c>
    </row>
    <row r="78" spans="1:112" ht="21" customHeight="1" x14ac:dyDescent="0.25">
      <c r="A78" s="237"/>
      <c r="B78" s="251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3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89"/>
        <v>0.99725575071450379</v>
      </c>
      <c r="AB78" s="24">
        <f t="shared" si="88"/>
        <v>26955075</v>
      </c>
      <c r="AC78" s="24"/>
      <c r="AD78" s="24"/>
      <c r="AE78" s="24"/>
      <c r="AF78" s="24"/>
      <c r="AG78" s="24">
        <f>+'[10]SEPTIEMBRE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1"/>
        <v>2.7442492854962142E-3</v>
      </c>
      <c r="AX78" s="24">
        <f t="shared" si="75"/>
        <v>74175</v>
      </c>
      <c r="AY78" s="24">
        <f t="shared" si="76"/>
        <v>0</v>
      </c>
      <c r="AZ78" s="24">
        <f t="shared" si="76"/>
        <v>0</v>
      </c>
      <c r="BA78" s="24">
        <f t="shared" si="76"/>
        <v>0</v>
      </c>
      <c r="BB78" s="24">
        <f t="shared" si="94"/>
        <v>74175</v>
      </c>
      <c r="BC78" s="24"/>
      <c r="BD78" s="24"/>
      <c r="BE78" s="24"/>
      <c r="BF78" s="24"/>
      <c r="BG78" s="24"/>
      <c r="BH78" s="24">
        <f t="shared" si="94"/>
        <v>0</v>
      </c>
      <c r="BI78" s="24">
        <f t="shared" si="94"/>
        <v>0</v>
      </c>
      <c r="BJ78" s="24">
        <f t="shared" si="94"/>
        <v>0</v>
      </c>
      <c r="BK78" s="24">
        <f t="shared" si="94"/>
        <v>0</v>
      </c>
      <c r="BL78" s="24">
        <f t="shared" si="94"/>
        <v>0</v>
      </c>
      <c r="BM78" s="24">
        <f t="shared" si="94"/>
        <v>0</v>
      </c>
      <c r="BN78" s="24"/>
      <c r="BO78" s="24"/>
      <c r="BP78" s="24">
        <f t="shared" si="78"/>
        <v>0</v>
      </c>
      <c r="BQ78" s="24">
        <f t="shared" si="95"/>
        <v>0</v>
      </c>
      <c r="BR78" s="25">
        <f t="shared" si="90"/>
        <v>0.99725575071450379</v>
      </c>
      <c r="BS78" s="24">
        <f t="shared" si="80"/>
        <v>26955075</v>
      </c>
      <c r="BT78" s="24"/>
      <c r="BU78" s="24"/>
      <c r="BV78" s="24"/>
      <c r="BW78" s="24"/>
      <c r="BX78" s="24">
        <f>+'[10]SEPTIEMBRE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81"/>
        <v>2.7442492854962142E-3</v>
      </c>
      <c r="CO78" s="24">
        <f t="shared" si="82"/>
        <v>74175</v>
      </c>
      <c r="CP78" s="24">
        <f t="shared" si="99"/>
        <v>0</v>
      </c>
      <c r="CQ78" s="24">
        <f t="shared" si="99"/>
        <v>0</v>
      </c>
      <c r="CR78" s="24">
        <f t="shared" si="99"/>
        <v>0</v>
      </c>
      <c r="CS78" s="24">
        <f t="shared" si="99"/>
        <v>74175</v>
      </c>
      <c r="CT78" s="24"/>
      <c r="CU78" s="24"/>
      <c r="CV78" s="24"/>
      <c r="CW78" s="24"/>
      <c r="CX78" s="24"/>
      <c r="CY78" s="24">
        <f t="shared" si="85"/>
        <v>0</v>
      </c>
      <c r="CZ78" s="24">
        <f t="shared" si="85"/>
        <v>0</v>
      </c>
      <c r="DA78" s="24">
        <f t="shared" si="85"/>
        <v>0</v>
      </c>
      <c r="DB78" s="24">
        <f t="shared" si="97"/>
        <v>0</v>
      </c>
      <c r="DC78" s="24">
        <f t="shared" si="97"/>
        <v>0</v>
      </c>
      <c r="DD78" s="24">
        <f t="shared" si="97"/>
        <v>0</v>
      </c>
      <c r="DE78" s="24"/>
      <c r="DF78" s="24"/>
      <c r="DG78" s="54"/>
      <c r="DH78" s="24">
        <f t="shared" si="98"/>
        <v>0</v>
      </c>
    </row>
    <row r="79" spans="1:112" ht="30" x14ac:dyDescent="0.25">
      <c r="A79" s="237"/>
      <c r="B79" s="252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3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89"/>
        <v>0.81124759999999996</v>
      </c>
      <c r="AB79" s="24">
        <f t="shared" si="88"/>
        <v>4056238</v>
      </c>
      <c r="AC79" s="24"/>
      <c r="AD79" s="24"/>
      <c r="AE79" s="24"/>
      <c r="AF79" s="24"/>
      <c r="AG79" s="24">
        <f>+'[5]NOVIEMBRE 2016'!$G$4356</f>
        <v>4056238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1"/>
        <v>0.18875240000000004</v>
      </c>
      <c r="AX79" s="24">
        <f t="shared" si="75"/>
        <v>943762</v>
      </c>
      <c r="AY79" s="24">
        <f t="shared" si="76"/>
        <v>0</v>
      </c>
      <c r="AZ79" s="24">
        <f t="shared" si="76"/>
        <v>0</v>
      </c>
      <c r="BA79" s="24">
        <f t="shared" si="76"/>
        <v>0</v>
      </c>
      <c r="BB79" s="24">
        <f t="shared" si="94"/>
        <v>943762</v>
      </c>
      <c r="BC79" s="24"/>
      <c r="BD79" s="24"/>
      <c r="BE79" s="24"/>
      <c r="BF79" s="24"/>
      <c r="BG79" s="24"/>
      <c r="BH79" s="24">
        <f t="shared" si="94"/>
        <v>0</v>
      </c>
      <c r="BI79" s="24">
        <f t="shared" si="94"/>
        <v>0</v>
      </c>
      <c r="BJ79" s="24">
        <f t="shared" si="94"/>
        <v>0</v>
      </c>
      <c r="BK79" s="24">
        <f t="shared" si="94"/>
        <v>0</v>
      </c>
      <c r="BL79" s="24">
        <f t="shared" si="94"/>
        <v>0</v>
      </c>
      <c r="BM79" s="24">
        <f t="shared" si="94"/>
        <v>0</v>
      </c>
      <c r="BN79" s="24"/>
      <c r="BO79" s="24"/>
      <c r="BP79" s="24">
        <f t="shared" si="78"/>
        <v>0</v>
      </c>
      <c r="BQ79" s="24">
        <f t="shared" si="95"/>
        <v>0</v>
      </c>
      <c r="BR79" s="25">
        <f t="shared" si="90"/>
        <v>0.81124759999999996</v>
      </c>
      <c r="BS79" s="24">
        <f t="shared" si="80"/>
        <v>4056238</v>
      </c>
      <c r="BT79" s="24"/>
      <c r="BU79" s="24"/>
      <c r="BV79" s="24"/>
      <c r="BW79" s="24"/>
      <c r="BX79" s="24">
        <f>+'[5]NOVIEMBRE 2016'!$H$4356</f>
        <v>4056238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81"/>
        <v>0.18875240000000004</v>
      </c>
      <c r="CO79" s="24">
        <f t="shared" si="82"/>
        <v>943762</v>
      </c>
      <c r="CP79" s="24">
        <f t="shared" si="99"/>
        <v>0</v>
      </c>
      <c r="CQ79" s="24">
        <f t="shared" si="99"/>
        <v>0</v>
      </c>
      <c r="CR79" s="24">
        <f t="shared" si="99"/>
        <v>0</v>
      </c>
      <c r="CS79" s="24">
        <f t="shared" si="99"/>
        <v>943762</v>
      </c>
      <c r="CT79" s="24"/>
      <c r="CU79" s="24"/>
      <c r="CV79" s="24"/>
      <c r="CW79" s="24"/>
      <c r="CX79" s="24"/>
      <c r="CY79" s="24">
        <f t="shared" si="85"/>
        <v>0</v>
      </c>
      <c r="CZ79" s="24">
        <f t="shared" si="85"/>
        <v>0</v>
      </c>
      <c r="DA79" s="24">
        <f t="shared" si="85"/>
        <v>0</v>
      </c>
      <c r="DB79" s="24">
        <f t="shared" si="97"/>
        <v>0</v>
      </c>
      <c r="DC79" s="24">
        <f t="shared" si="97"/>
        <v>0</v>
      </c>
      <c r="DD79" s="24">
        <f t="shared" si="97"/>
        <v>0</v>
      </c>
      <c r="DE79" s="24"/>
      <c r="DF79" s="24"/>
      <c r="DG79" s="54"/>
      <c r="DH79" s="24">
        <f t="shared" si="98"/>
        <v>0</v>
      </c>
    </row>
    <row r="80" spans="1:112" ht="34.5" customHeight="1" x14ac:dyDescent="0.25">
      <c r="A80" s="237"/>
      <c r="B80" s="239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3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89"/>
        <v>1</v>
      </c>
      <c r="AB80" s="24">
        <f t="shared" si="88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1"/>
        <v>0</v>
      </c>
      <c r="AX80" s="24">
        <f t="shared" si="75"/>
        <v>0</v>
      </c>
      <c r="AY80" s="24">
        <f t="shared" si="76"/>
        <v>0</v>
      </c>
      <c r="AZ80" s="24">
        <f t="shared" si="76"/>
        <v>0</v>
      </c>
      <c r="BA80" s="24">
        <f t="shared" si="76"/>
        <v>0</v>
      </c>
      <c r="BB80" s="24">
        <f t="shared" si="94"/>
        <v>0</v>
      </c>
      <c r="BC80" s="24">
        <f t="shared" si="94"/>
        <v>0</v>
      </c>
      <c r="BD80" s="24">
        <f t="shared" si="94"/>
        <v>0</v>
      </c>
      <c r="BE80" s="24">
        <f t="shared" si="94"/>
        <v>0</v>
      </c>
      <c r="BF80" s="24">
        <f t="shared" si="94"/>
        <v>0</v>
      </c>
      <c r="BG80" s="24">
        <f t="shared" si="94"/>
        <v>0</v>
      </c>
      <c r="BH80" s="24">
        <f t="shared" si="94"/>
        <v>0</v>
      </c>
      <c r="BI80" s="24">
        <f t="shared" si="94"/>
        <v>0</v>
      </c>
      <c r="BJ80" s="24">
        <f t="shared" si="94"/>
        <v>0</v>
      </c>
      <c r="BK80" s="24">
        <f t="shared" si="94"/>
        <v>0</v>
      </c>
      <c r="BL80" s="24">
        <f t="shared" si="94"/>
        <v>0</v>
      </c>
      <c r="BM80" s="24">
        <f t="shared" si="94"/>
        <v>0</v>
      </c>
      <c r="BN80" s="24"/>
      <c r="BO80" s="24"/>
      <c r="BP80" s="24">
        <f t="shared" si="78"/>
        <v>0</v>
      </c>
      <c r="BQ80" s="24">
        <f t="shared" si="95"/>
        <v>0</v>
      </c>
      <c r="BR80" s="25">
        <f t="shared" si="90"/>
        <v>1</v>
      </c>
      <c r="BS80" s="24">
        <f t="shared" si="80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81"/>
        <v>0</v>
      </c>
      <c r="CO80" s="24">
        <f t="shared" si="82"/>
        <v>0</v>
      </c>
      <c r="CP80" s="24">
        <f t="shared" si="99"/>
        <v>0</v>
      </c>
      <c r="CQ80" s="24">
        <f t="shared" si="99"/>
        <v>0</v>
      </c>
      <c r="CR80" s="24">
        <f t="shared" si="99"/>
        <v>0</v>
      </c>
      <c r="CS80" s="24">
        <f t="shared" si="99"/>
        <v>0</v>
      </c>
      <c r="CT80" s="24">
        <f t="shared" si="99"/>
        <v>0</v>
      </c>
      <c r="CU80" s="24">
        <f t="shared" si="99"/>
        <v>0</v>
      </c>
      <c r="CV80" s="24">
        <f t="shared" ref="CV80:CX84" si="100">+N80-CA80</f>
        <v>0</v>
      </c>
      <c r="CW80" s="24">
        <f t="shared" si="100"/>
        <v>0</v>
      </c>
      <c r="CX80" s="24">
        <f t="shared" si="100"/>
        <v>0</v>
      </c>
      <c r="CY80" s="24">
        <f t="shared" si="85"/>
        <v>0</v>
      </c>
      <c r="CZ80" s="24">
        <f t="shared" si="85"/>
        <v>0</v>
      </c>
      <c r="DA80" s="24">
        <f t="shared" si="85"/>
        <v>0</v>
      </c>
      <c r="DB80" s="24">
        <f t="shared" si="97"/>
        <v>0</v>
      </c>
      <c r="DC80" s="24">
        <f t="shared" si="97"/>
        <v>0</v>
      </c>
      <c r="DD80" s="24">
        <f t="shared" si="97"/>
        <v>0</v>
      </c>
      <c r="DE80" s="24"/>
      <c r="DF80" s="24">
        <f t="shared" ref="DF80:DG84" si="101">+X80-CK80</f>
        <v>0</v>
      </c>
      <c r="DG80" s="54">
        <f t="shared" si="101"/>
        <v>0</v>
      </c>
      <c r="DH80" s="24">
        <f t="shared" si="98"/>
        <v>0</v>
      </c>
    </row>
    <row r="81" spans="1:112" ht="30.75" customHeight="1" x14ac:dyDescent="0.25">
      <c r="A81" s="237"/>
      <c r="B81" s="241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89"/>
        <v>1</v>
      </c>
      <c r="AB81" s="24">
        <f t="shared" si="88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1"/>
        <v>0</v>
      </c>
      <c r="AX81" s="24">
        <f t="shared" si="75"/>
        <v>0</v>
      </c>
      <c r="AY81" s="24">
        <f t="shared" si="76"/>
        <v>0</v>
      </c>
      <c r="AZ81" s="24">
        <f t="shared" si="76"/>
        <v>0</v>
      </c>
      <c r="BA81" s="24">
        <f t="shared" si="76"/>
        <v>0</v>
      </c>
      <c r="BB81" s="24">
        <f t="shared" si="94"/>
        <v>0</v>
      </c>
      <c r="BC81" s="24">
        <f t="shared" si="94"/>
        <v>0</v>
      </c>
      <c r="BD81" s="24">
        <f t="shared" si="94"/>
        <v>0</v>
      </c>
      <c r="BE81" s="24">
        <f t="shared" si="94"/>
        <v>0</v>
      </c>
      <c r="BF81" s="24">
        <f t="shared" si="94"/>
        <v>0</v>
      </c>
      <c r="BG81" s="24">
        <f t="shared" si="94"/>
        <v>0</v>
      </c>
      <c r="BH81" s="24">
        <f t="shared" si="94"/>
        <v>0</v>
      </c>
      <c r="BI81" s="24">
        <f t="shared" si="94"/>
        <v>0</v>
      </c>
      <c r="BJ81" s="24">
        <f t="shared" si="94"/>
        <v>0</v>
      </c>
      <c r="BK81" s="24">
        <f t="shared" si="94"/>
        <v>0</v>
      </c>
      <c r="BL81" s="24">
        <f t="shared" si="94"/>
        <v>0</v>
      </c>
      <c r="BM81" s="24">
        <f t="shared" si="94"/>
        <v>0</v>
      </c>
      <c r="BN81" s="24"/>
      <c r="BO81" s="24"/>
      <c r="BP81" s="24">
        <f t="shared" si="78"/>
        <v>0</v>
      </c>
      <c r="BQ81" s="24">
        <f t="shared" si="95"/>
        <v>0</v>
      </c>
      <c r="BR81" s="25">
        <f t="shared" si="90"/>
        <v>1</v>
      </c>
      <c r="BS81" s="24">
        <f t="shared" si="80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81"/>
        <v>0</v>
      </c>
      <c r="CO81" s="24">
        <f t="shared" si="82"/>
        <v>0</v>
      </c>
      <c r="CP81" s="24">
        <f t="shared" si="99"/>
        <v>0</v>
      </c>
      <c r="CQ81" s="24">
        <f t="shared" si="99"/>
        <v>0</v>
      </c>
      <c r="CR81" s="24">
        <f t="shared" si="99"/>
        <v>0</v>
      </c>
      <c r="CS81" s="24">
        <f t="shared" si="99"/>
        <v>0</v>
      </c>
      <c r="CT81" s="24">
        <f t="shared" si="99"/>
        <v>0</v>
      </c>
      <c r="CU81" s="24">
        <f t="shared" si="99"/>
        <v>0</v>
      </c>
      <c r="CV81" s="24">
        <f t="shared" si="100"/>
        <v>0</v>
      </c>
      <c r="CW81" s="24">
        <f t="shared" si="100"/>
        <v>0</v>
      </c>
      <c r="CX81" s="24">
        <f t="shared" si="100"/>
        <v>0</v>
      </c>
      <c r="CY81" s="24">
        <f t="shared" si="85"/>
        <v>0</v>
      </c>
      <c r="CZ81" s="24">
        <f t="shared" si="85"/>
        <v>0</v>
      </c>
      <c r="DA81" s="24">
        <f t="shared" si="85"/>
        <v>0</v>
      </c>
      <c r="DB81" s="24">
        <f t="shared" si="97"/>
        <v>0</v>
      </c>
      <c r="DC81" s="24">
        <f t="shared" si="97"/>
        <v>0</v>
      </c>
      <c r="DD81" s="24">
        <f t="shared" si="97"/>
        <v>0</v>
      </c>
      <c r="DE81" s="24"/>
      <c r="DF81" s="24">
        <f t="shared" si="101"/>
        <v>0</v>
      </c>
      <c r="DG81" s="54">
        <f t="shared" si="101"/>
        <v>0</v>
      </c>
      <c r="DH81" s="24">
        <f t="shared" si="98"/>
        <v>0</v>
      </c>
    </row>
    <row r="82" spans="1:112" ht="49.5" customHeight="1" x14ac:dyDescent="0.25">
      <c r="A82" s="237"/>
      <c r="B82" s="239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93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89"/>
        <v>0.97333333333333338</v>
      </c>
      <c r="AB82" s="24">
        <f t="shared" si="88"/>
        <v>14600000</v>
      </c>
      <c r="AC82" s="24"/>
      <c r="AD82" s="24"/>
      <c r="AE82" s="24"/>
      <c r="AF82" s="24"/>
      <c r="AG82" s="24">
        <f>+'[3]ENERO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+'[9]AGOSTO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1"/>
        <v>2.6666666666666616E-2</v>
      </c>
      <c r="AX82" s="24">
        <f t="shared" si="75"/>
        <v>400000</v>
      </c>
      <c r="AY82" s="24">
        <f t="shared" si="76"/>
        <v>0</v>
      </c>
      <c r="AZ82" s="24">
        <f t="shared" si="76"/>
        <v>0</v>
      </c>
      <c r="BA82" s="24">
        <f t="shared" si="76"/>
        <v>0</v>
      </c>
      <c r="BB82" s="24">
        <f t="shared" si="94"/>
        <v>0</v>
      </c>
      <c r="BC82" s="24">
        <f t="shared" si="94"/>
        <v>0</v>
      </c>
      <c r="BD82" s="24">
        <f t="shared" si="94"/>
        <v>0</v>
      </c>
      <c r="BE82" s="24">
        <f t="shared" si="94"/>
        <v>0</v>
      </c>
      <c r="BF82" s="24">
        <f t="shared" si="94"/>
        <v>0</v>
      </c>
      <c r="BG82" s="24">
        <f t="shared" si="94"/>
        <v>0</v>
      </c>
      <c r="BH82" s="24">
        <f t="shared" si="94"/>
        <v>0</v>
      </c>
      <c r="BI82" s="24">
        <f t="shared" si="94"/>
        <v>0</v>
      </c>
      <c r="BJ82" s="24">
        <f t="shared" si="94"/>
        <v>400000</v>
      </c>
      <c r="BK82" s="24">
        <f t="shared" si="94"/>
        <v>0</v>
      </c>
      <c r="BL82" s="24">
        <f t="shared" si="94"/>
        <v>0</v>
      </c>
      <c r="BM82" s="24">
        <f t="shared" si="94"/>
        <v>0</v>
      </c>
      <c r="BN82" s="24"/>
      <c r="BO82" s="24"/>
      <c r="BP82" s="24">
        <f t="shared" si="78"/>
        <v>0</v>
      </c>
      <c r="BQ82" s="24">
        <f t="shared" si="95"/>
        <v>0</v>
      </c>
      <c r="BR82" s="25">
        <f t="shared" si="90"/>
        <v>0.97333333333333338</v>
      </c>
      <c r="BS82" s="24">
        <f t="shared" si="80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+'[9]AGOSTO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81"/>
        <v>2.6666666666666616E-2</v>
      </c>
      <c r="CO82" s="24">
        <f t="shared" si="82"/>
        <v>400000</v>
      </c>
      <c r="CP82" s="24">
        <f t="shared" si="99"/>
        <v>0</v>
      </c>
      <c r="CQ82" s="24">
        <f t="shared" si="99"/>
        <v>0</v>
      </c>
      <c r="CR82" s="24">
        <f t="shared" si="99"/>
        <v>0</v>
      </c>
      <c r="CS82" s="24">
        <f t="shared" si="99"/>
        <v>0</v>
      </c>
      <c r="CT82" s="24">
        <f t="shared" si="99"/>
        <v>0</v>
      </c>
      <c r="CU82" s="24">
        <f t="shared" si="99"/>
        <v>0</v>
      </c>
      <c r="CV82" s="24">
        <f t="shared" si="100"/>
        <v>0</v>
      </c>
      <c r="CW82" s="24">
        <f t="shared" si="100"/>
        <v>0</v>
      </c>
      <c r="CX82" s="24">
        <f t="shared" si="100"/>
        <v>0</v>
      </c>
      <c r="CY82" s="24">
        <f t="shared" si="85"/>
        <v>0</v>
      </c>
      <c r="CZ82" s="24">
        <f t="shared" si="85"/>
        <v>0</v>
      </c>
      <c r="DA82" s="24">
        <f t="shared" si="85"/>
        <v>400000</v>
      </c>
      <c r="DB82" s="24">
        <f t="shared" si="97"/>
        <v>0</v>
      </c>
      <c r="DC82" s="24">
        <f t="shared" si="97"/>
        <v>0</v>
      </c>
      <c r="DD82" s="24">
        <f t="shared" si="97"/>
        <v>0</v>
      </c>
      <c r="DE82" s="24"/>
      <c r="DF82" s="24">
        <f t="shared" si="101"/>
        <v>0</v>
      </c>
      <c r="DG82" s="54">
        <f t="shared" si="101"/>
        <v>0</v>
      </c>
      <c r="DH82" s="24">
        <f t="shared" si="98"/>
        <v>0</v>
      </c>
    </row>
    <row r="83" spans="1:112" ht="30" x14ac:dyDescent="0.25">
      <c r="A83" s="237"/>
      <c r="B83" s="240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93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89"/>
        <v>0.63860614999999998</v>
      </c>
      <c r="AB83" s="24">
        <f t="shared" si="88"/>
        <v>12772123</v>
      </c>
      <c r="AC83" s="24"/>
      <c r="AD83" s="24"/>
      <c r="AE83" s="24"/>
      <c r="AF83" s="24"/>
      <c r="AG83" s="24">
        <f>+'[4]DICIEMBRE 2016'!$O$4634</f>
        <v>9762123</v>
      </c>
      <c r="AH83" s="24"/>
      <c r="AI83" s="24"/>
      <c r="AJ83" s="24"/>
      <c r="AK83" s="24"/>
      <c r="AL83" s="24"/>
      <c r="AM83" s="24"/>
      <c r="AN83" s="24"/>
      <c r="AO83" s="24">
        <f>+'[5]NOVIEMBRE 2016'!$W$4398</f>
        <v>3010000</v>
      </c>
      <c r="AP83" s="24"/>
      <c r="AQ83" s="24"/>
      <c r="AR83" s="24"/>
      <c r="AS83" s="24"/>
      <c r="AT83" s="24"/>
      <c r="AU83" s="24"/>
      <c r="AV83" s="24"/>
      <c r="AW83" s="25">
        <f t="shared" si="91"/>
        <v>0.36139385000000002</v>
      </c>
      <c r="AX83" s="24">
        <f t="shared" si="75"/>
        <v>7227877</v>
      </c>
      <c r="AY83" s="24">
        <f t="shared" si="76"/>
        <v>0</v>
      </c>
      <c r="AZ83" s="24">
        <f t="shared" si="76"/>
        <v>0</v>
      </c>
      <c r="BA83" s="24">
        <f t="shared" si="76"/>
        <v>0</v>
      </c>
      <c r="BB83" s="24">
        <f t="shared" si="94"/>
        <v>237877</v>
      </c>
      <c r="BC83" s="24">
        <f t="shared" si="94"/>
        <v>0</v>
      </c>
      <c r="BD83" s="24">
        <f t="shared" si="94"/>
        <v>0</v>
      </c>
      <c r="BE83" s="24">
        <f t="shared" si="94"/>
        <v>0</v>
      </c>
      <c r="BF83" s="24">
        <f t="shared" si="94"/>
        <v>0</v>
      </c>
      <c r="BG83" s="24">
        <f t="shared" si="94"/>
        <v>0</v>
      </c>
      <c r="BH83" s="24">
        <f t="shared" si="94"/>
        <v>0</v>
      </c>
      <c r="BI83" s="24">
        <f t="shared" si="94"/>
        <v>0</v>
      </c>
      <c r="BJ83" s="24">
        <f t="shared" si="94"/>
        <v>6990000</v>
      </c>
      <c r="BK83" s="24">
        <f t="shared" si="94"/>
        <v>0</v>
      </c>
      <c r="BL83" s="24">
        <f t="shared" si="94"/>
        <v>0</v>
      </c>
      <c r="BM83" s="24">
        <f t="shared" si="94"/>
        <v>0</v>
      </c>
      <c r="BN83" s="24"/>
      <c r="BO83" s="24"/>
      <c r="BP83" s="24">
        <f t="shared" si="78"/>
        <v>0</v>
      </c>
      <c r="BQ83" s="24">
        <f t="shared" si="95"/>
        <v>0</v>
      </c>
      <c r="BR83" s="25">
        <f t="shared" si="90"/>
        <v>0.63860614999999998</v>
      </c>
      <c r="BS83" s="24">
        <f t="shared" si="80"/>
        <v>12772123</v>
      </c>
      <c r="BT83" s="24"/>
      <c r="BU83" s="24"/>
      <c r="BV83" s="24"/>
      <c r="BW83" s="24"/>
      <c r="BX83" s="24">
        <f>+'[4]DICIEMBRE 2016'!$O$4634</f>
        <v>9762123</v>
      </c>
      <c r="BY83" s="24"/>
      <c r="BZ83" s="24"/>
      <c r="CA83" s="24"/>
      <c r="CB83" s="24"/>
      <c r="CC83" s="24"/>
      <c r="CD83" s="24"/>
      <c r="CE83" s="24"/>
      <c r="CF83" s="24">
        <f>+'[5]NOVIEMBRE 2016'!$W$4398</f>
        <v>3010000</v>
      </c>
      <c r="CG83" s="24"/>
      <c r="CH83" s="24"/>
      <c r="CI83" s="24"/>
      <c r="CJ83" s="24"/>
      <c r="CK83" s="24"/>
      <c r="CL83" s="24"/>
      <c r="CM83" s="24"/>
      <c r="CN83" s="25">
        <f t="shared" si="81"/>
        <v>0.36139385000000002</v>
      </c>
      <c r="CO83" s="24">
        <f t="shared" si="82"/>
        <v>7227877</v>
      </c>
      <c r="CP83" s="24">
        <f t="shared" si="99"/>
        <v>0</v>
      </c>
      <c r="CQ83" s="24">
        <f t="shared" si="99"/>
        <v>0</v>
      </c>
      <c r="CR83" s="24">
        <f t="shared" si="99"/>
        <v>0</v>
      </c>
      <c r="CS83" s="24">
        <f t="shared" si="99"/>
        <v>237877</v>
      </c>
      <c r="CT83" s="24">
        <f t="shared" si="99"/>
        <v>0</v>
      </c>
      <c r="CU83" s="24">
        <f t="shared" si="99"/>
        <v>0</v>
      </c>
      <c r="CV83" s="24">
        <f t="shared" si="100"/>
        <v>0</v>
      </c>
      <c r="CW83" s="24">
        <f t="shared" si="100"/>
        <v>0</v>
      </c>
      <c r="CX83" s="24">
        <f t="shared" si="100"/>
        <v>0</v>
      </c>
      <c r="CY83" s="24">
        <f t="shared" si="85"/>
        <v>0</v>
      </c>
      <c r="CZ83" s="24">
        <f t="shared" si="85"/>
        <v>0</v>
      </c>
      <c r="DA83" s="24">
        <f t="shared" si="85"/>
        <v>6990000</v>
      </c>
      <c r="DB83" s="24">
        <f t="shared" si="97"/>
        <v>0</v>
      </c>
      <c r="DC83" s="24">
        <f t="shared" si="97"/>
        <v>0</v>
      </c>
      <c r="DD83" s="24">
        <f t="shared" si="97"/>
        <v>0</v>
      </c>
      <c r="DE83" s="24"/>
      <c r="DF83" s="24">
        <f t="shared" si="101"/>
        <v>0</v>
      </c>
      <c r="DG83" s="54">
        <f t="shared" si="101"/>
        <v>0</v>
      </c>
      <c r="DH83" s="24">
        <f t="shared" si="98"/>
        <v>0</v>
      </c>
    </row>
    <row r="84" spans="1:112" ht="30.75" customHeight="1" x14ac:dyDescent="0.25">
      <c r="A84" s="237"/>
      <c r="B84" s="240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93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89"/>
        <v>0.97</v>
      </c>
      <c r="AB84" s="24">
        <f t="shared" si="88"/>
        <v>4850000</v>
      </c>
      <c r="AC84" s="24"/>
      <c r="AD84" s="24"/>
      <c r="AE84" s="24"/>
      <c r="AF84" s="24"/>
      <c r="AG84" s="24">
        <f>+'[2]DICIEMBRE 2016'!$O$4642</f>
        <v>948558</v>
      </c>
      <c r="AH84" s="24"/>
      <c r="AI84" s="24"/>
      <c r="AJ84" s="24"/>
      <c r="AK84" s="24"/>
      <c r="AL84" s="24"/>
      <c r="AM84" s="24"/>
      <c r="AN84" s="24"/>
      <c r="AO84" s="24">
        <f>+'[2]DICIEMBRE 2016'!$W$4642</f>
        <v>3901442</v>
      </c>
      <c r="AP84" s="24"/>
      <c r="AQ84" s="24"/>
      <c r="AR84" s="24"/>
      <c r="AS84" s="24"/>
      <c r="AT84" s="24"/>
      <c r="AU84" s="24"/>
      <c r="AV84" s="24"/>
      <c r="AW84" s="25">
        <f t="shared" si="91"/>
        <v>3.0000000000000027E-2</v>
      </c>
      <c r="AX84" s="24">
        <f t="shared" si="75"/>
        <v>150000</v>
      </c>
      <c r="AY84" s="24">
        <f t="shared" si="76"/>
        <v>0</v>
      </c>
      <c r="AZ84" s="24">
        <f t="shared" si="76"/>
        <v>0</v>
      </c>
      <c r="BA84" s="24">
        <f t="shared" si="76"/>
        <v>0</v>
      </c>
      <c r="BB84" s="24">
        <f t="shared" si="94"/>
        <v>150000</v>
      </c>
      <c r="BC84" s="24">
        <f t="shared" si="94"/>
        <v>0</v>
      </c>
      <c r="BD84" s="24">
        <f t="shared" si="94"/>
        <v>0</v>
      </c>
      <c r="BE84" s="24">
        <f t="shared" si="94"/>
        <v>0</v>
      </c>
      <c r="BF84" s="24">
        <f t="shared" si="94"/>
        <v>0</v>
      </c>
      <c r="BG84" s="24">
        <f t="shared" si="94"/>
        <v>0</v>
      </c>
      <c r="BH84" s="24">
        <f t="shared" si="94"/>
        <v>0</v>
      </c>
      <c r="BI84" s="24">
        <f t="shared" si="94"/>
        <v>0</v>
      </c>
      <c r="BJ84" s="24">
        <f t="shared" si="94"/>
        <v>0</v>
      </c>
      <c r="BK84" s="24">
        <f t="shared" si="94"/>
        <v>0</v>
      </c>
      <c r="BL84" s="24">
        <f t="shared" si="94"/>
        <v>0</v>
      </c>
      <c r="BM84" s="24">
        <f t="shared" si="94"/>
        <v>0</v>
      </c>
      <c r="BN84" s="24"/>
      <c r="BO84" s="24"/>
      <c r="BP84" s="24">
        <f t="shared" si="78"/>
        <v>0</v>
      </c>
      <c r="BQ84" s="24">
        <f t="shared" si="95"/>
        <v>0</v>
      </c>
      <c r="BR84" s="25">
        <f t="shared" si="90"/>
        <v>0.97</v>
      </c>
      <c r="BS84" s="24">
        <f t="shared" si="80"/>
        <v>4850000</v>
      </c>
      <c r="BT84" s="24"/>
      <c r="BU84" s="24"/>
      <c r="BV84" s="24"/>
      <c r="BW84" s="24"/>
      <c r="BX84" s="24">
        <f>+'[5]NOVIEMBRE 2016'!$H$4410</f>
        <v>948558</v>
      </c>
      <c r="BY84" s="24"/>
      <c r="BZ84" s="24"/>
      <c r="CA84" s="24"/>
      <c r="CB84" s="24"/>
      <c r="CC84" s="24"/>
      <c r="CD84" s="24"/>
      <c r="CE84" s="24"/>
      <c r="CF84" s="24">
        <f>+'[5]NOVIEMBRE 2016'!$H$4412</f>
        <v>3901442</v>
      </c>
      <c r="CG84" s="24"/>
      <c r="CH84" s="24"/>
      <c r="CI84" s="24"/>
      <c r="CJ84" s="24"/>
      <c r="CK84" s="24"/>
      <c r="CL84" s="24"/>
      <c r="CM84" s="24"/>
      <c r="CN84" s="25">
        <f t="shared" si="81"/>
        <v>3.0000000000000027E-2</v>
      </c>
      <c r="CO84" s="24">
        <f t="shared" si="82"/>
        <v>150000</v>
      </c>
      <c r="CP84" s="24">
        <f t="shared" si="99"/>
        <v>0</v>
      </c>
      <c r="CQ84" s="24">
        <f t="shared" si="99"/>
        <v>0</v>
      </c>
      <c r="CR84" s="24">
        <f t="shared" si="99"/>
        <v>0</v>
      </c>
      <c r="CS84" s="24">
        <f t="shared" si="99"/>
        <v>150000</v>
      </c>
      <c r="CT84" s="24">
        <f t="shared" si="99"/>
        <v>0</v>
      </c>
      <c r="CU84" s="24">
        <f t="shared" si="99"/>
        <v>0</v>
      </c>
      <c r="CV84" s="24">
        <f t="shared" si="100"/>
        <v>0</v>
      </c>
      <c r="CW84" s="24">
        <f t="shared" si="100"/>
        <v>0</v>
      </c>
      <c r="CX84" s="24">
        <f t="shared" si="100"/>
        <v>0</v>
      </c>
      <c r="CY84" s="24">
        <f t="shared" si="85"/>
        <v>0</v>
      </c>
      <c r="CZ84" s="24">
        <f t="shared" si="85"/>
        <v>0</v>
      </c>
      <c r="DA84" s="24">
        <f t="shared" si="85"/>
        <v>0</v>
      </c>
      <c r="DB84" s="24">
        <f t="shared" si="97"/>
        <v>0</v>
      </c>
      <c r="DC84" s="24">
        <f t="shared" si="97"/>
        <v>0</v>
      </c>
      <c r="DD84" s="24">
        <f t="shared" si="97"/>
        <v>0</v>
      </c>
      <c r="DE84" s="24"/>
      <c r="DF84" s="24">
        <f t="shared" si="101"/>
        <v>0</v>
      </c>
      <c r="DG84" s="54">
        <f t="shared" si="101"/>
        <v>0</v>
      </c>
      <c r="DH84" s="24">
        <f t="shared" si="98"/>
        <v>0</v>
      </c>
    </row>
    <row r="85" spans="1:112" ht="21" customHeight="1" x14ac:dyDescent="0.25">
      <c r="A85" s="237"/>
      <c r="B85" s="241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93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89"/>
        <v>0.99412374999999997</v>
      </c>
      <c r="AB85" s="24">
        <f t="shared" si="88"/>
        <v>19882475</v>
      </c>
      <c r="AC85" s="24"/>
      <c r="AD85" s="24"/>
      <c r="AE85" s="24"/>
      <c r="AF85" s="24"/>
      <c r="AG85" s="24">
        <f>+'[13]ABRIL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+'[2]DICIEMBRE 2016'!$W$4651</f>
        <v>9932475</v>
      </c>
      <c r="AP85" s="24"/>
      <c r="AQ85" s="24"/>
      <c r="AR85" s="24"/>
      <c r="AS85" s="24"/>
      <c r="AT85" s="24"/>
      <c r="AU85" s="24"/>
      <c r="AV85" s="24"/>
      <c r="AW85" s="25">
        <f t="shared" si="91"/>
        <v>5.8762500000000273E-3</v>
      </c>
      <c r="AX85" s="24">
        <f t="shared" si="75"/>
        <v>117525</v>
      </c>
      <c r="AY85" s="24">
        <f t="shared" si="76"/>
        <v>0</v>
      </c>
      <c r="AZ85" s="24">
        <f t="shared" si="76"/>
        <v>0</v>
      </c>
      <c r="BA85" s="24">
        <f t="shared" si="76"/>
        <v>0</v>
      </c>
      <c r="BB85" s="24">
        <f t="shared" si="94"/>
        <v>50000</v>
      </c>
      <c r="BC85" s="24">
        <f t="shared" si="94"/>
        <v>0</v>
      </c>
      <c r="BD85" s="24">
        <f t="shared" si="94"/>
        <v>0</v>
      </c>
      <c r="BE85" s="24">
        <f t="shared" si="94"/>
        <v>0</v>
      </c>
      <c r="BF85" s="24">
        <f t="shared" si="94"/>
        <v>0</v>
      </c>
      <c r="BG85" s="24">
        <f t="shared" si="94"/>
        <v>0</v>
      </c>
      <c r="BH85" s="24">
        <f t="shared" si="94"/>
        <v>0</v>
      </c>
      <c r="BI85" s="24">
        <f t="shared" si="94"/>
        <v>0</v>
      </c>
      <c r="BJ85" s="24">
        <f t="shared" si="94"/>
        <v>67525</v>
      </c>
      <c r="BK85" s="24">
        <f t="shared" si="94"/>
        <v>0</v>
      </c>
      <c r="BL85" s="24">
        <f t="shared" si="94"/>
        <v>0</v>
      </c>
      <c r="BM85" s="24">
        <f t="shared" si="94"/>
        <v>0</v>
      </c>
      <c r="BN85" s="24"/>
      <c r="BO85" s="24">
        <f>+X85-AT85</f>
        <v>0</v>
      </c>
      <c r="BP85" s="24">
        <f t="shared" si="78"/>
        <v>0</v>
      </c>
      <c r="BQ85" s="24">
        <f t="shared" si="95"/>
        <v>0</v>
      </c>
      <c r="BR85" s="25">
        <f t="shared" si="90"/>
        <v>0.99412374999999997</v>
      </c>
      <c r="BS85" s="24">
        <f t="shared" si="80"/>
        <v>19882475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+'[2]DICIEMBRE 2016'!$W$4651</f>
        <v>9932475</v>
      </c>
      <c r="CG85" s="24"/>
      <c r="CH85" s="24"/>
      <c r="CI85" s="24"/>
      <c r="CJ85" s="24"/>
      <c r="CK85" s="24"/>
      <c r="CL85" s="24"/>
      <c r="CM85" s="24"/>
      <c r="CN85" s="25">
        <f t="shared" si="81"/>
        <v>5.8762500000000273E-3</v>
      </c>
      <c r="CO85" s="24">
        <f t="shared" si="82"/>
        <v>117525</v>
      </c>
      <c r="CP85" s="24">
        <f t="shared" si="99"/>
        <v>0</v>
      </c>
      <c r="CQ85" s="24">
        <f t="shared" si="99"/>
        <v>0</v>
      </c>
      <c r="CR85" s="24">
        <f t="shared" si="99"/>
        <v>0</v>
      </c>
      <c r="CS85" s="24">
        <f t="shared" si="99"/>
        <v>50000</v>
      </c>
      <c r="CT85" s="24">
        <f t="shared" si="99"/>
        <v>0</v>
      </c>
      <c r="CU85" s="24">
        <f t="shared" si="99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5"/>
        <v>0</v>
      </c>
      <c r="CZ85" s="24">
        <f t="shared" si="85"/>
        <v>0</v>
      </c>
      <c r="DA85" s="24">
        <f t="shared" si="85"/>
        <v>67525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</row>
    <row r="86" spans="1:112" s="58" customFormat="1" ht="35.25" customHeight="1" x14ac:dyDescent="0.25">
      <c r="A86" s="237" t="s">
        <v>183</v>
      </c>
      <c r="B86" s="239" t="s">
        <v>245</v>
      </c>
      <c r="C86" s="68" t="s">
        <v>246</v>
      </c>
      <c r="D86" s="21" t="s">
        <v>247</v>
      </c>
      <c r="E86" s="64">
        <v>520</v>
      </c>
      <c r="F86" s="67" t="s">
        <v>91</v>
      </c>
      <c r="G86" s="24">
        <f t="shared" si="93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89"/>
        <v>0.6</v>
      </c>
      <c r="AB86" s="24">
        <f t="shared" si="88"/>
        <v>3600000</v>
      </c>
      <c r="AC86" s="54"/>
      <c r="AD86" s="54"/>
      <c r="AE86" s="54"/>
      <c r="AF86" s="54"/>
      <c r="AG86" s="24">
        <f>+'[10]SEPTIEMBRE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1"/>
        <v>0.4</v>
      </c>
      <c r="AX86" s="24">
        <f t="shared" si="75"/>
        <v>2400000</v>
      </c>
      <c r="AY86" s="54">
        <f t="shared" si="76"/>
        <v>0</v>
      </c>
      <c r="AZ86" s="54">
        <f t="shared" si="76"/>
        <v>0</v>
      </c>
      <c r="BA86" s="24">
        <f t="shared" si="76"/>
        <v>0</v>
      </c>
      <c r="BB86" s="54">
        <f t="shared" si="94"/>
        <v>2400000</v>
      </c>
      <c r="BC86" s="54">
        <f t="shared" si="94"/>
        <v>0</v>
      </c>
      <c r="BD86" s="24">
        <f t="shared" si="94"/>
        <v>0</v>
      </c>
      <c r="BE86" s="54">
        <f t="shared" si="94"/>
        <v>0</v>
      </c>
      <c r="BF86" s="54">
        <f t="shared" si="94"/>
        <v>0</v>
      </c>
      <c r="BG86" s="24">
        <f t="shared" si="94"/>
        <v>0</v>
      </c>
      <c r="BH86" s="54">
        <f t="shared" si="94"/>
        <v>0</v>
      </c>
      <c r="BI86" s="54">
        <f t="shared" si="94"/>
        <v>0</v>
      </c>
      <c r="BJ86" s="54">
        <f t="shared" si="94"/>
        <v>0</v>
      </c>
      <c r="BK86" s="54">
        <f t="shared" si="94"/>
        <v>0</v>
      </c>
      <c r="BL86" s="54">
        <f t="shared" si="94"/>
        <v>0</v>
      </c>
      <c r="BM86" s="54">
        <f t="shared" si="94"/>
        <v>0</v>
      </c>
      <c r="BN86" s="54"/>
      <c r="BO86" s="54"/>
      <c r="BP86" s="24">
        <f t="shared" si="78"/>
        <v>0</v>
      </c>
      <c r="BQ86" s="54">
        <f t="shared" si="95"/>
        <v>0</v>
      </c>
      <c r="BR86" s="57">
        <f t="shared" si="90"/>
        <v>0.6</v>
      </c>
      <c r="BS86" s="24">
        <f t="shared" si="80"/>
        <v>3600000</v>
      </c>
      <c r="BT86" s="54"/>
      <c r="BU86" s="54"/>
      <c r="BV86" s="54"/>
      <c r="BW86" s="54"/>
      <c r="BX86" s="54">
        <f>+'[10]SEPTIEMBRE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81"/>
        <v>0.4</v>
      </c>
      <c r="CO86" s="24">
        <f t="shared" si="82"/>
        <v>2400000</v>
      </c>
      <c r="CP86" s="24">
        <f t="shared" si="99"/>
        <v>0</v>
      </c>
      <c r="CQ86" s="54">
        <f t="shared" si="99"/>
        <v>0</v>
      </c>
      <c r="CR86" s="24">
        <f t="shared" si="99"/>
        <v>0</v>
      </c>
      <c r="CS86" s="54">
        <f t="shared" si="99"/>
        <v>2400000</v>
      </c>
      <c r="CT86" s="54">
        <f t="shared" si="99"/>
        <v>0</v>
      </c>
      <c r="CU86" s="24">
        <f t="shared" si="99"/>
        <v>0</v>
      </c>
      <c r="CV86" s="54">
        <f t="shared" ref="CV86:DD92" si="102">+N86-CA86</f>
        <v>0</v>
      </c>
      <c r="CW86" s="54">
        <f t="shared" si="102"/>
        <v>0</v>
      </c>
      <c r="CX86" s="24">
        <f t="shared" si="102"/>
        <v>0</v>
      </c>
      <c r="CY86" s="54">
        <f t="shared" si="85"/>
        <v>0</v>
      </c>
      <c r="CZ86" s="54">
        <f t="shared" si="85"/>
        <v>0</v>
      </c>
      <c r="DA86" s="54">
        <f t="shared" si="85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</row>
    <row r="87" spans="1:112" s="58" customFormat="1" ht="49.5" customHeight="1" x14ac:dyDescent="0.25">
      <c r="A87" s="237"/>
      <c r="B87" s="241"/>
      <c r="C87" s="68" t="s">
        <v>248</v>
      </c>
      <c r="D87" s="21" t="s">
        <v>249</v>
      </c>
      <c r="E87" s="64">
        <v>520</v>
      </c>
      <c r="F87" s="67" t="s">
        <v>91</v>
      </c>
      <c r="G87" s="24">
        <f t="shared" si="93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89"/>
        <v>0</v>
      </c>
      <c r="AB87" s="24">
        <f t="shared" si="88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1"/>
        <v>1</v>
      </c>
      <c r="AX87" s="24">
        <f t="shared" si="75"/>
        <v>6000000</v>
      </c>
      <c r="AY87" s="54">
        <f t="shared" si="76"/>
        <v>0</v>
      </c>
      <c r="AZ87" s="54">
        <f t="shared" si="76"/>
        <v>0</v>
      </c>
      <c r="BA87" s="24">
        <f t="shared" si="76"/>
        <v>0</v>
      </c>
      <c r="BB87" s="54">
        <f t="shared" si="94"/>
        <v>6000000</v>
      </c>
      <c r="BC87" s="54">
        <f t="shared" si="94"/>
        <v>0</v>
      </c>
      <c r="BD87" s="24">
        <f t="shared" si="94"/>
        <v>0</v>
      </c>
      <c r="BE87" s="54">
        <f t="shared" si="94"/>
        <v>0</v>
      </c>
      <c r="BF87" s="54">
        <f t="shared" si="94"/>
        <v>0</v>
      </c>
      <c r="BG87" s="24">
        <f t="shared" si="94"/>
        <v>0</v>
      </c>
      <c r="BH87" s="54">
        <f t="shared" si="94"/>
        <v>0</v>
      </c>
      <c r="BI87" s="54">
        <f t="shared" si="94"/>
        <v>0</v>
      </c>
      <c r="BJ87" s="54">
        <f t="shared" si="94"/>
        <v>0</v>
      </c>
      <c r="BK87" s="54">
        <f t="shared" si="94"/>
        <v>0</v>
      </c>
      <c r="BL87" s="54">
        <f t="shared" si="94"/>
        <v>0</v>
      </c>
      <c r="BM87" s="54">
        <f t="shared" si="94"/>
        <v>0</v>
      </c>
      <c r="BN87" s="54"/>
      <c r="BO87" s="54">
        <f>+X87-AT87</f>
        <v>0</v>
      </c>
      <c r="BP87" s="24">
        <f t="shared" si="78"/>
        <v>0</v>
      </c>
      <c r="BQ87" s="54">
        <f t="shared" si="95"/>
        <v>0</v>
      </c>
      <c r="BR87" s="57">
        <f t="shared" si="90"/>
        <v>0</v>
      </c>
      <c r="BS87" s="24">
        <f t="shared" si="80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81"/>
        <v>1</v>
      </c>
      <c r="CO87" s="24">
        <f t="shared" si="82"/>
        <v>6000000</v>
      </c>
      <c r="CP87" s="24">
        <f t="shared" si="99"/>
        <v>0</v>
      </c>
      <c r="CQ87" s="54">
        <f t="shared" si="99"/>
        <v>0</v>
      </c>
      <c r="CR87" s="24">
        <f t="shared" si="99"/>
        <v>0</v>
      </c>
      <c r="CS87" s="54">
        <f t="shared" si="99"/>
        <v>6000000</v>
      </c>
      <c r="CT87" s="54">
        <f t="shared" si="99"/>
        <v>0</v>
      </c>
      <c r="CU87" s="24">
        <f t="shared" si="99"/>
        <v>0</v>
      </c>
      <c r="CV87" s="54">
        <f t="shared" si="102"/>
        <v>0</v>
      </c>
      <c r="CW87" s="54">
        <f t="shared" si="102"/>
        <v>0</v>
      </c>
      <c r="CX87" s="24">
        <f t="shared" si="102"/>
        <v>0</v>
      </c>
      <c r="CY87" s="54">
        <f t="shared" si="85"/>
        <v>0</v>
      </c>
      <c r="CZ87" s="54">
        <f t="shared" si="85"/>
        <v>0</v>
      </c>
      <c r="DA87" s="54">
        <f t="shared" si="85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</row>
    <row r="88" spans="1:112" ht="33" customHeight="1" x14ac:dyDescent="0.25">
      <c r="A88" s="237"/>
      <c r="B88" s="239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93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89"/>
        <v>1</v>
      </c>
      <c r="AB88" s="24">
        <f t="shared" si="88"/>
        <v>33106800</v>
      </c>
      <c r="AC88" s="24"/>
      <c r="AD88" s="24"/>
      <c r="AE88" s="24"/>
      <c r="AF88" s="24"/>
      <c r="AG88" s="24">
        <f>+'[3]ENERO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1"/>
        <v>0</v>
      </c>
      <c r="AX88" s="24">
        <f t="shared" si="75"/>
        <v>0</v>
      </c>
      <c r="AY88" s="24">
        <f t="shared" si="76"/>
        <v>0</v>
      </c>
      <c r="AZ88" s="24">
        <f t="shared" si="76"/>
        <v>0</v>
      </c>
      <c r="BA88" s="24">
        <f t="shared" si="76"/>
        <v>0</v>
      </c>
      <c r="BB88" s="24">
        <f t="shared" si="94"/>
        <v>0</v>
      </c>
      <c r="BC88" s="24">
        <f t="shared" si="94"/>
        <v>0</v>
      </c>
      <c r="BD88" s="24">
        <f t="shared" si="94"/>
        <v>0</v>
      </c>
      <c r="BE88" s="54">
        <f t="shared" si="94"/>
        <v>0</v>
      </c>
      <c r="BF88" s="24">
        <f t="shared" si="94"/>
        <v>0</v>
      </c>
      <c r="BG88" s="24">
        <f t="shared" si="94"/>
        <v>0</v>
      </c>
      <c r="BH88" s="24">
        <f t="shared" si="94"/>
        <v>0</v>
      </c>
      <c r="BI88" s="24">
        <f t="shared" si="94"/>
        <v>0</v>
      </c>
      <c r="BJ88" s="24">
        <f t="shared" si="94"/>
        <v>0</v>
      </c>
      <c r="BK88" s="24">
        <f t="shared" si="94"/>
        <v>0</v>
      </c>
      <c r="BL88" s="24">
        <f t="shared" si="94"/>
        <v>0</v>
      </c>
      <c r="BM88" s="24">
        <f t="shared" si="94"/>
        <v>0</v>
      </c>
      <c r="BN88" s="24"/>
      <c r="BO88" s="24"/>
      <c r="BP88" s="24">
        <f t="shared" si="78"/>
        <v>0</v>
      </c>
      <c r="BQ88" s="24">
        <f t="shared" si="95"/>
        <v>0</v>
      </c>
      <c r="BR88" s="25">
        <f t="shared" si="90"/>
        <v>1</v>
      </c>
      <c r="BS88" s="24">
        <f t="shared" si="80"/>
        <v>33106800</v>
      </c>
      <c r="BT88" s="24"/>
      <c r="BU88" s="24"/>
      <c r="BV88" s="24"/>
      <c r="BW88" s="24"/>
      <c r="BX88" s="24">
        <f>+'[4]DICIEMBRE 2016'!$O$4691</f>
        <v>33106800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81"/>
        <v>0</v>
      </c>
      <c r="CO88" s="24">
        <f t="shared" si="82"/>
        <v>0</v>
      </c>
      <c r="CP88" s="24">
        <f t="shared" si="99"/>
        <v>0</v>
      </c>
      <c r="CQ88" s="54">
        <f t="shared" si="99"/>
        <v>0</v>
      </c>
      <c r="CR88" s="24">
        <f t="shared" si="99"/>
        <v>0</v>
      </c>
      <c r="CS88" s="24">
        <f t="shared" si="99"/>
        <v>0</v>
      </c>
      <c r="CT88" s="54">
        <f t="shared" si="99"/>
        <v>0</v>
      </c>
      <c r="CU88" s="24">
        <f t="shared" si="99"/>
        <v>0</v>
      </c>
      <c r="CV88" s="54">
        <f t="shared" si="102"/>
        <v>0</v>
      </c>
      <c r="CW88" s="54">
        <f t="shared" si="102"/>
        <v>0</v>
      </c>
      <c r="CX88" s="24">
        <f t="shared" si="102"/>
        <v>0</v>
      </c>
      <c r="CY88" s="54">
        <f t="shared" si="85"/>
        <v>0</v>
      </c>
      <c r="CZ88" s="24">
        <f t="shared" si="85"/>
        <v>0</v>
      </c>
      <c r="DA88" s="24">
        <f t="shared" si="85"/>
        <v>0</v>
      </c>
      <c r="DB88" s="24">
        <f t="shared" ref="DB88:DD90" si="103">+T88-CG88</f>
        <v>0</v>
      </c>
      <c r="DC88" s="24">
        <f t="shared" si="103"/>
        <v>0</v>
      </c>
      <c r="DD88" s="24">
        <f t="shared" si="103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</row>
    <row r="89" spans="1:112" ht="19.5" customHeight="1" x14ac:dyDescent="0.25">
      <c r="A89" s="237"/>
      <c r="B89" s="240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93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89"/>
        <v>1</v>
      </c>
      <c r="AB89" s="24">
        <f t="shared" si="88"/>
        <v>15184000</v>
      </c>
      <c r="AC89" s="24"/>
      <c r="AD89" s="24"/>
      <c r="AE89" s="24"/>
      <c r="AF89" s="24"/>
      <c r="AG89" s="24">
        <f>+'[3]ENERO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1"/>
        <v>0</v>
      </c>
      <c r="AX89" s="24">
        <f t="shared" si="75"/>
        <v>0</v>
      </c>
      <c r="AY89" s="24">
        <f t="shared" si="76"/>
        <v>0</v>
      </c>
      <c r="AZ89" s="24">
        <f t="shared" si="76"/>
        <v>0</v>
      </c>
      <c r="BA89" s="24">
        <f t="shared" si="76"/>
        <v>0</v>
      </c>
      <c r="BB89" s="24">
        <f t="shared" ref="BB89:BM92" si="104">+K89-AG89</f>
        <v>0</v>
      </c>
      <c r="BC89" s="24">
        <f t="shared" si="104"/>
        <v>0</v>
      </c>
      <c r="BD89" s="24">
        <f t="shared" si="104"/>
        <v>0</v>
      </c>
      <c r="BE89" s="54">
        <f t="shared" si="104"/>
        <v>0</v>
      </c>
      <c r="BF89" s="24">
        <f t="shared" si="104"/>
        <v>0</v>
      </c>
      <c r="BG89" s="24">
        <f t="shared" si="104"/>
        <v>0</v>
      </c>
      <c r="BH89" s="24">
        <f t="shared" si="104"/>
        <v>0</v>
      </c>
      <c r="BI89" s="24">
        <f t="shared" si="104"/>
        <v>0</v>
      </c>
      <c r="BJ89" s="24">
        <f t="shared" si="104"/>
        <v>0</v>
      </c>
      <c r="BK89" s="24">
        <f t="shared" si="104"/>
        <v>0</v>
      </c>
      <c r="BL89" s="24">
        <f t="shared" si="104"/>
        <v>0</v>
      </c>
      <c r="BM89" s="24">
        <f t="shared" si="104"/>
        <v>0</v>
      </c>
      <c r="BN89" s="24"/>
      <c r="BO89" s="24"/>
      <c r="BP89" s="24">
        <f t="shared" si="78"/>
        <v>0</v>
      </c>
      <c r="BQ89" s="24">
        <f t="shared" si="95"/>
        <v>0</v>
      </c>
      <c r="BR89" s="25">
        <f t="shared" si="90"/>
        <v>1</v>
      </c>
      <c r="BS89" s="24">
        <f t="shared" si="80"/>
        <v>15184000</v>
      </c>
      <c r="BT89" s="24"/>
      <c r="BU89" s="24"/>
      <c r="BV89" s="24"/>
      <c r="BW89" s="24"/>
      <c r="BX89" s="24">
        <f>+'[4]DICIEMBRE 2016'!$O$4701</f>
        <v>15184000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81"/>
        <v>0</v>
      </c>
      <c r="CO89" s="24">
        <f t="shared" si="82"/>
        <v>0</v>
      </c>
      <c r="CP89" s="24">
        <f t="shared" si="99"/>
        <v>0</v>
      </c>
      <c r="CQ89" s="54">
        <f t="shared" si="99"/>
        <v>0</v>
      </c>
      <c r="CR89" s="24">
        <f t="shared" si="99"/>
        <v>0</v>
      </c>
      <c r="CS89" s="24">
        <f t="shared" si="99"/>
        <v>0</v>
      </c>
      <c r="CT89" s="54">
        <f t="shared" si="99"/>
        <v>0</v>
      </c>
      <c r="CU89" s="24">
        <f t="shared" si="99"/>
        <v>0</v>
      </c>
      <c r="CV89" s="54">
        <f t="shared" si="102"/>
        <v>0</v>
      </c>
      <c r="CW89" s="54">
        <f t="shared" si="102"/>
        <v>0</v>
      </c>
      <c r="CX89" s="24">
        <f t="shared" si="102"/>
        <v>0</v>
      </c>
      <c r="CY89" s="54">
        <f t="shared" si="85"/>
        <v>0</v>
      </c>
      <c r="CZ89" s="24">
        <f t="shared" si="85"/>
        <v>0</v>
      </c>
      <c r="DA89" s="24">
        <f t="shared" si="85"/>
        <v>0</v>
      </c>
      <c r="DB89" s="24">
        <f t="shared" si="103"/>
        <v>0</v>
      </c>
      <c r="DC89" s="24">
        <f t="shared" si="103"/>
        <v>0</v>
      </c>
      <c r="DD89" s="24">
        <f t="shared" si="103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</row>
    <row r="90" spans="1:112" ht="45" x14ac:dyDescent="0.25">
      <c r="A90" s="237"/>
      <c r="B90" s="240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93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89"/>
        <v>0.72647052941176471</v>
      </c>
      <c r="AB90" s="24">
        <f t="shared" si="88"/>
        <v>12349999</v>
      </c>
      <c r="AC90" s="24"/>
      <c r="AD90" s="24"/>
      <c r="AE90" s="24"/>
      <c r="AF90" s="24"/>
      <c r="AG90" s="24">
        <f>+'[4]DICIEMBRE 2016'!$O$4713</f>
        <v>11349999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1"/>
        <v>0.27352947058823529</v>
      </c>
      <c r="AX90" s="24">
        <f t="shared" si="75"/>
        <v>4650001</v>
      </c>
      <c r="AY90" s="24">
        <f t="shared" si="76"/>
        <v>0</v>
      </c>
      <c r="AZ90" s="24">
        <f t="shared" si="76"/>
        <v>0</v>
      </c>
      <c r="BA90" s="24">
        <f t="shared" si="76"/>
        <v>0</v>
      </c>
      <c r="BB90" s="24">
        <f t="shared" si="104"/>
        <v>4650001</v>
      </c>
      <c r="BC90" s="24">
        <f t="shared" si="104"/>
        <v>0</v>
      </c>
      <c r="BD90" s="24">
        <f t="shared" si="104"/>
        <v>0</v>
      </c>
      <c r="BE90" s="54">
        <f t="shared" si="104"/>
        <v>0</v>
      </c>
      <c r="BF90" s="24">
        <f t="shared" si="104"/>
        <v>0</v>
      </c>
      <c r="BG90" s="24">
        <f t="shared" si="104"/>
        <v>0</v>
      </c>
      <c r="BH90" s="24">
        <f t="shared" si="104"/>
        <v>0</v>
      </c>
      <c r="BI90" s="24">
        <f t="shared" si="104"/>
        <v>0</v>
      </c>
      <c r="BJ90" s="24">
        <f t="shared" si="104"/>
        <v>0</v>
      </c>
      <c r="BK90" s="24">
        <f t="shared" si="104"/>
        <v>0</v>
      </c>
      <c r="BL90" s="24">
        <f t="shared" si="104"/>
        <v>0</v>
      </c>
      <c r="BM90" s="24">
        <f t="shared" si="104"/>
        <v>0</v>
      </c>
      <c r="BN90" s="24"/>
      <c r="BO90" s="24"/>
      <c r="BP90" s="24">
        <f t="shared" si="78"/>
        <v>0</v>
      </c>
      <c r="BQ90" s="24">
        <f t="shared" si="95"/>
        <v>0</v>
      </c>
      <c r="BR90" s="25">
        <f t="shared" si="90"/>
        <v>0.72647052941176471</v>
      </c>
      <c r="BS90" s="24">
        <f t="shared" si="80"/>
        <v>12349999</v>
      </c>
      <c r="BT90" s="24"/>
      <c r="BU90" s="24"/>
      <c r="BV90" s="24"/>
      <c r="BW90" s="24"/>
      <c r="BX90" s="24">
        <f>+'[4]DICIEMBRE 2016'!$O$4713</f>
        <v>11349999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>
        <f>+'[5]NOVIEMBRE 2016'!$AG$4470</f>
        <v>1000000</v>
      </c>
      <c r="CN90" s="57">
        <f t="shared" si="81"/>
        <v>0.27352947058823529</v>
      </c>
      <c r="CO90" s="24">
        <f t="shared" si="82"/>
        <v>4650001</v>
      </c>
      <c r="CP90" s="24">
        <f t="shared" si="99"/>
        <v>0</v>
      </c>
      <c r="CQ90" s="54">
        <f t="shared" si="99"/>
        <v>0</v>
      </c>
      <c r="CR90" s="24">
        <f t="shared" si="99"/>
        <v>0</v>
      </c>
      <c r="CS90" s="24">
        <f t="shared" si="99"/>
        <v>4650001</v>
      </c>
      <c r="CT90" s="54">
        <f t="shared" si="99"/>
        <v>0</v>
      </c>
      <c r="CU90" s="24">
        <f t="shared" si="99"/>
        <v>0</v>
      </c>
      <c r="CV90" s="54">
        <f t="shared" si="102"/>
        <v>0</v>
      </c>
      <c r="CW90" s="54">
        <f t="shared" si="102"/>
        <v>0</v>
      </c>
      <c r="CX90" s="24">
        <f t="shared" si="102"/>
        <v>0</v>
      </c>
      <c r="CY90" s="54">
        <f t="shared" si="85"/>
        <v>0</v>
      </c>
      <c r="CZ90" s="24">
        <f t="shared" si="85"/>
        <v>0</v>
      </c>
      <c r="DA90" s="24">
        <f t="shared" si="85"/>
        <v>0</v>
      </c>
      <c r="DB90" s="24">
        <f t="shared" si="103"/>
        <v>0</v>
      </c>
      <c r="DC90" s="24">
        <f t="shared" si="103"/>
        <v>0</v>
      </c>
      <c r="DD90" s="24">
        <f t="shared" si="103"/>
        <v>0</v>
      </c>
      <c r="DE90" s="24"/>
      <c r="DF90" s="24">
        <f>+X90-CK90</f>
        <v>0</v>
      </c>
      <c r="DG90" s="54">
        <f>Y90-CL90</f>
        <v>0</v>
      </c>
      <c r="DH90" s="24">
        <f>+Z90-CM90</f>
        <v>0</v>
      </c>
    </row>
    <row r="91" spans="1:112" ht="21" customHeight="1" x14ac:dyDescent="0.25">
      <c r="A91" s="237"/>
      <c r="B91" s="240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93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89"/>
        <v>0.98502514506341121</v>
      </c>
      <c r="AB91" s="24">
        <f t="shared" si="88"/>
        <v>266655369</v>
      </c>
      <c r="AC91" s="72"/>
      <c r="AD91" s="72"/>
      <c r="AE91" s="72"/>
      <c r="AF91" s="72"/>
      <c r="AG91" s="72">
        <f>+'[3]ENERO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+'[4]DICIEMBRE 2016'!$W$4722</f>
        <v>230946169</v>
      </c>
      <c r="AP91" s="72"/>
      <c r="AQ91" s="72"/>
      <c r="AR91" s="72"/>
      <c r="AS91" s="72"/>
      <c r="AT91" s="72"/>
      <c r="AU91" s="72"/>
      <c r="AV91" s="72"/>
      <c r="AW91" s="25">
        <f t="shared" si="91"/>
        <v>1.4974854936588788E-2</v>
      </c>
      <c r="AX91" s="24">
        <f t="shared" si="75"/>
        <v>4053831</v>
      </c>
      <c r="AY91" s="24">
        <f t="shared" si="76"/>
        <v>0</v>
      </c>
      <c r="AZ91" s="24">
        <f t="shared" si="76"/>
        <v>0</v>
      </c>
      <c r="BA91" s="24">
        <f t="shared" si="76"/>
        <v>0</v>
      </c>
      <c r="BB91" s="24">
        <f t="shared" si="104"/>
        <v>0</v>
      </c>
      <c r="BC91" s="24">
        <f t="shared" si="104"/>
        <v>0</v>
      </c>
      <c r="BD91" s="24">
        <f t="shared" si="104"/>
        <v>0</v>
      </c>
      <c r="BE91" s="54">
        <f t="shared" si="104"/>
        <v>0</v>
      </c>
      <c r="BF91" s="24">
        <f t="shared" si="104"/>
        <v>0</v>
      </c>
      <c r="BG91" s="24">
        <f t="shared" si="104"/>
        <v>0</v>
      </c>
      <c r="BH91" s="24">
        <f t="shared" si="104"/>
        <v>0</v>
      </c>
      <c r="BI91" s="24">
        <f t="shared" si="104"/>
        <v>0</v>
      </c>
      <c r="BJ91" s="24">
        <f t="shared" si="104"/>
        <v>4053831</v>
      </c>
      <c r="BK91" s="24">
        <f t="shared" si="104"/>
        <v>0</v>
      </c>
      <c r="BL91" s="24">
        <f t="shared" si="104"/>
        <v>0</v>
      </c>
      <c r="BM91" s="24">
        <f t="shared" si="104"/>
        <v>0</v>
      </c>
      <c r="BN91" s="24"/>
      <c r="BO91" s="24">
        <f>+X91-AT91</f>
        <v>0</v>
      </c>
      <c r="BP91" s="24">
        <f t="shared" si="78"/>
        <v>0</v>
      </c>
      <c r="BQ91" s="24">
        <f t="shared" si="95"/>
        <v>0</v>
      </c>
      <c r="BR91" s="25">
        <f t="shared" si="90"/>
        <v>0.98502514506341121</v>
      </c>
      <c r="BS91" s="24">
        <f t="shared" si="80"/>
        <v>266655369</v>
      </c>
      <c r="BT91" s="72"/>
      <c r="BU91" s="72"/>
      <c r="BV91" s="72"/>
      <c r="BW91" s="72"/>
      <c r="BX91" s="72">
        <f>+'[1]OCTUBRE 2016'!$H$3956+'[1]OCTUBRE 2016'!$H$4006+'[1]OCTUBRE 2016'!$H$4007</f>
        <v>35709200</v>
      </c>
      <c r="BY91" s="72"/>
      <c r="BZ91" s="72"/>
      <c r="CA91" s="72"/>
      <c r="CB91" s="72"/>
      <c r="CC91" s="72"/>
      <c r="CD91" s="72"/>
      <c r="CE91" s="72"/>
      <c r="CF91" s="72">
        <f>+'[4]DICIEMBRE 2016'!$W$4722</f>
        <v>230946169</v>
      </c>
      <c r="CG91" s="72"/>
      <c r="CH91" s="72"/>
      <c r="CI91" s="72"/>
      <c r="CJ91" s="72"/>
      <c r="CK91" s="72"/>
      <c r="CL91" s="72"/>
      <c r="CM91" s="72"/>
      <c r="CN91" s="57">
        <f t="shared" si="81"/>
        <v>1.4974854936588788E-2</v>
      </c>
      <c r="CO91" s="24">
        <f t="shared" si="82"/>
        <v>4053831</v>
      </c>
      <c r="CP91" s="24">
        <f t="shared" si="99"/>
        <v>0</v>
      </c>
      <c r="CQ91" s="54">
        <f t="shared" si="99"/>
        <v>0</v>
      </c>
      <c r="CR91" s="24">
        <f t="shared" si="99"/>
        <v>0</v>
      </c>
      <c r="CS91" s="24">
        <f t="shared" si="99"/>
        <v>0</v>
      </c>
      <c r="CT91" s="54">
        <f t="shared" si="99"/>
        <v>0</v>
      </c>
      <c r="CU91" s="24">
        <f t="shared" si="99"/>
        <v>0</v>
      </c>
      <c r="CV91" s="54">
        <f t="shared" si="102"/>
        <v>0</v>
      </c>
      <c r="CW91" s="54">
        <f t="shared" si="102"/>
        <v>0</v>
      </c>
      <c r="CX91" s="24">
        <f t="shared" si="102"/>
        <v>0</v>
      </c>
      <c r="CY91" s="54">
        <f t="shared" si="85"/>
        <v>0</v>
      </c>
      <c r="CZ91" s="54">
        <f t="shared" si="85"/>
        <v>0</v>
      </c>
      <c r="DA91" s="54">
        <f t="shared" si="85"/>
        <v>4053831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</row>
    <row r="92" spans="1:112" ht="62.25" customHeight="1" x14ac:dyDescent="0.25">
      <c r="A92" s="238"/>
      <c r="B92" s="241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3"/>
        <v>64451472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26599846+5000000+955598+1000000+3500000+3000000+10000000+5396028+9000000</f>
        <v>64451472</v>
      </c>
      <c r="AA92" s="25">
        <f t="shared" si="89"/>
        <v>0.84929220856274623</v>
      </c>
      <c r="AB92" s="24">
        <f t="shared" si="88"/>
        <v>54738133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+'[2]DICIEMBRE 2016'!$AG$4775</f>
        <v>54738133</v>
      </c>
      <c r="AW92" s="25">
        <f t="shared" si="91"/>
        <v>0.15070779143725377</v>
      </c>
      <c r="AX92" s="24">
        <f t="shared" si="75"/>
        <v>9713339</v>
      </c>
      <c r="AY92" s="24">
        <f t="shared" si="76"/>
        <v>0</v>
      </c>
      <c r="AZ92" s="24">
        <f t="shared" si="76"/>
        <v>0</v>
      </c>
      <c r="BA92" s="24">
        <f t="shared" si="76"/>
        <v>0</v>
      </c>
      <c r="BB92" s="24">
        <f t="shared" si="104"/>
        <v>0</v>
      </c>
      <c r="BC92" s="24">
        <f t="shared" si="104"/>
        <v>0</v>
      </c>
      <c r="BD92" s="24">
        <f t="shared" si="104"/>
        <v>0</v>
      </c>
      <c r="BE92" s="54">
        <f t="shared" si="104"/>
        <v>0</v>
      </c>
      <c r="BF92" s="24">
        <f t="shared" si="104"/>
        <v>0</v>
      </c>
      <c r="BG92" s="24">
        <f t="shared" si="104"/>
        <v>0</v>
      </c>
      <c r="BH92" s="24">
        <f t="shared" si="104"/>
        <v>0</v>
      </c>
      <c r="BI92" s="24">
        <f t="shared" si="104"/>
        <v>0</v>
      </c>
      <c r="BJ92" s="24">
        <f t="shared" si="104"/>
        <v>0</v>
      </c>
      <c r="BK92" s="24">
        <f t="shared" si="104"/>
        <v>0</v>
      </c>
      <c r="BL92" s="24">
        <f t="shared" si="104"/>
        <v>0</v>
      </c>
      <c r="BM92" s="24">
        <f t="shared" si="104"/>
        <v>0</v>
      </c>
      <c r="BN92" s="24"/>
      <c r="BO92" s="24">
        <f>+X92-AT92</f>
        <v>0</v>
      </c>
      <c r="BP92" s="24">
        <f t="shared" si="78"/>
        <v>0</v>
      </c>
      <c r="BQ92" s="24">
        <f t="shared" si="95"/>
        <v>9713339</v>
      </c>
      <c r="BR92" s="25">
        <f t="shared" si="90"/>
        <v>0.84929220856274623</v>
      </c>
      <c r="BS92" s="24">
        <f t="shared" si="80"/>
        <v>54738133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+'[2]DICIEMBRE 2016'!$H$4773</f>
        <v>54738133</v>
      </c>
      <c r="CN92" s="57">
        <f t="shared" si="81"/>
        <v>0.15070779143725377</v>
      </c>
      <c r="CO92" s="24">
        <f t="shared" si="82"/>
        <v>9713339</v>
      </c>
      <c r="CP92" s="24">
        <f t="shared" si="99"/>
        <v>0</v>
      </c>
      <c r="CQ92" s="54">
        <f t="shared" si="99"/>
        <v>0</v>
      </c>
      <c r="CR92" s="24">
        <f t="shared" si="99"/>
        <v>0</v>
      </c>
      <c r="CS92" s="24">
        <f t="shared" si="99"/>
        <v>0</v>
      </c>
      <c r="CT92" s="54">
        <f t="shared" si="99"/>
        <v>0</v>
      </c>
      <c r="CU92" s="24">
        <f t="shared" si="99"/>
        <v>0</v>
      </c>
      <c r="CV92" s="54">
        <f t="shared" si="102"/>
        <v>0</v>
      </c>
      <c r="CW92" s="54">
        <f t="shared" si="102"/>
        <v>0</v>
      </c>
      <c r="CX92" s="24">
        <f t="shared" si="102"/>
        <v>0</v>
      </c>
      <c r="CY92" s="24">
        <f t="shared" si="102"/>
        <v>0</v>
      </c>
      <c r="CZ92" s="24">
        <f t="shared" si="102"/>
        <v>0</v>
      </c>
      <c r="DA92" s="24">
        <f t="shared" si="102"/>
        <v>0</v>
      </c>
      <c r="DB92" s="24">
        <f t="shared" si="102"/>
        <v>0</v>
      </c>
      <c r="DC92" s="24">
        <f t="shared" si="102"/>
        <v>0</v>
      </c>
      <c r="DD92" s="24">
        <f t="shared" si="102"/>
        <v>0</v>
      </c>
      <c r="DE92" s="24"/>
      <c r="DF92" s="24">
        <f>+X92-CK92</f>
        <v>0</v>
      </c>
      <c r="DG92" s="24">
        <f>+Y92-CL92</f>
        <v>0</v>
      </c>
      <c r="DH92" s="24">
        <f>+Z92-CM92</f>
        <v>9713339</v>
      </c>
    </row>
    <row r="93" spans="1:112" s="43" customFormat="1" ht="20.25" customHeight="1" thickBot="1" x14ac:dyDescent="0.3">
      <c r="A93" s="73"/>
      <c r="B93" s="253" t="s">
        <v>262</v>
      </c>
      <c r="C93" s="254"/>
      <c r="D93" s="254"/>
      <c r="E93" s="254"/>
      <c r="F93" s="255"/>
      <c r="G93" s="61">
        <f>SUM(G61:G92)</f>
        <v>1790134547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 t="shared" ref="K93:Z93" si="105">SUM(K61:K92)</f>
        <v>520000000</v>
      </c>
      <c r="L93" s="61">
        <f t="shared" si="105"/>
        <v>50000000</v>
      </c>
      <c r="M93" s="61">
        <f t="shared" si="105"/>
        <v>0</v>
      </c>
      <c r="N93" s="61">
        <f t="shared" si="105"/>
        <v>0</v>
      </c>
      <c r="O93" s="61">
        <f t="shared" si="105"/>
        <v>0</v>
      </c>
      <c r="P93" s="61">
        <f t="shared" si="105"/>
        <v>0</v>
      </c>
      <c r="Q93" s="61">
        <f t="shared" si="105"/>
        <v>0</v>
      </c>
      <c r="R93" s="61">
        <f t="shared" si="105"/>
        <v>244000000</v>
      </c>
      <c r="S93" s="61">
        <f t="shared" si="105"/>
        <v>333901442</v>
      </c>
      <c r="T93" s="61">
        <f t="shared" si="105"/>
        <v>0</v>
      </c>
      <c r="U93" s="61">
        <f t="shared" si="105"/>
        <v>0</v>
      </c>
      <c r="V93" s="61">
        <f t="shared" si="105"/>
        <v>0</v>
      </c>
      <c r="W93" s="61">
        <f t="shared" si="105"/>
        <v>0</v>
      </c>
      <c r="X93" s="61">
        <f t="shared" si="105"/>
        <v>0</v>
      </c>
      <c r="Y93" s="61">
        <f t="shared" si="105"/>
        <v>0</v>
      </c>
      <c r="Z93" s="61">
        <f t="shared" si="105"/>
        <v>642233105</v>
      </c>
      <c r="AA93" s="159">
        <f t="shared" si="89"/>
        <v>0.94110376888894265</v>
      </c>
      <c r="AB93" s="61">
        <f>SUM(AB61:AB92)</f>
        <v>1684702369</v>
      </c>
      <c r="AC93" s="61"/>
      <c r="AD93" s="61">
        <f t="shared" ref="AD93:AV93" si="106">SUM(AD61:AD92)</f>
        <v>0</v>
      </c>
      <c r="AE93" s="61">
        <f t="shared" si="106"/>
        <v>0</v>
      </c>
      <c r="AF93" s="61">
        <f t="shared" si="106"/>
        <v>0</v>
      </c>
      <c r="AG93" s="61">
        <f t="shared" si="106"/>
        <v>485265778</v>
      </c>
      <c r="AH93" s="61">
        <f t="shared" si="106"/>
        <v>49797725</v>
      </c>
      <c r="AI93" s="61">
        <f t="shared" si="106"/>
        <v>0</v>
      </c>
      <c r="AJ93" s="61">
        <f t="shared" si="106"/>
        <v>0</v>
      </c>
      <c r="AK93" s="61">
        <f t="shared" si="106"/>
        <v>0</v>
      </c>
      <c r="AL93" s="61">
        <f t="shared" si="106"/>
        <v>0</v>
      </c>
      <c r="AM93" s="61">
        <f t="shared" si="106"/>
        <v>0</v>
      </c>
      <c r="AN93" s="61">
        <f t="shared" si="106"/>
        <v>214647880</v>
      </c>
      <c r="AO93" s="61">
        <f t="shared" si="106"/>
        <v>317313672</v>
      </c>
      <c r="AP93" s="61">
        <f t="shared" si="106"/>
        <v>0</v>
      </c>
      <c r="AQ93" s="61">
        <f t="shared" si="106"/>
        <v>0</v>
      </c>
      <c r="AR93" s="61">
        <f t="shared" si="106"/>
        <v>0</v>
      </c>
      <c r="AS93" s="61">
        <f t="shared" si="106"/>
        <v>0</v>
      </c>
      <c r="AT93" s="61">
        <f t="shared" si="106"/>
        <v>0</v>
      </c>
      <c r="AU93" s="61">
        <f t="shared" si="106"/>
        <v>0</v>
      </c>
      <c r="AV93" s="61">
        <f t="shared" si="106"/>
        <v>617677314</v>
      </c>
      <c r="AW93" s="159">
        <f t="shared" si="91"/>
        <v>5.8896231111057351E-2</v>
      </c>
      <c r="AX93" s="61">
        <f>SUM(AX61:AX92)</f>
        <v>105432178</v>
      </c>
      <c r="AY93" s="61">
        <f t="shared" ref="AY93:BQ93" si="107">SUM(AY61:AY92)</f>
        <v>0</v>
      </c>
      <c r="AZ93" s="61">
        <f t="shared" si="107"/>
        <v>0</v>
      </c>
      <c r="BA93" s="61">
        <f t="shared" si="107"/>
        <v>0</v>
      </c>
      <c r="BB93" s="61">
        <f t="shared" si="107"/>
        <v>34734222</v>
      </c>
      <c r="BC93" s="61">
        <f t="shared" si="107"/>
        <v>202275</v>
      </c>
      <c r="BD93" s="61">
        <f t="shared" si="107"/>
        <v>0</v>
      </c>
      <c r="BE93" s="61">
        <f t="shared" si="107"/>
        <v>0</v>
      </c>
      <c r="BF93" s="61">
        <f t="shared" si="107"/>
        <v>0</v>
      </c>
      <c r="BG93" s="61">
        <f t="shared" si="107"/>
        <v>0</v>
      </c>
      <c r="BH93" s="61">
        <f t="shared" si="107"/>
        <v>0</v>
      </c>
      <c r="BI93" s="61">
        <f t="shared" si="107"/>
        <v>29352120</v>
      </c>
      <c r="BJ93" s="61">
        <f t="shared" si="107"/>
        <v>16587770</v>
      </c>
      <c r="BK93" s="61">
        <f t="shared" si="107"/>
        <v>0</v>
      </c>
      <c r="BL93" s="61">
        <f t="shared" si="107"/>
        <v>0</v>
      </c>
      <c r="BM93" s="61">
        <f t="shared" si="107"/>
        <v>0</v>
      </c>
      <c r="BN93" s="61">
        <f t="shared" si="107"/>
        <v>0</v>
      </c>
      <c r="BO93" s="61">
        <f t="shared" si="107"/>
        <v>0</v>
      </c>
      <c r="BP93" s="61">
        <f t="shared" si="107"/>
        <v>0</v>
      </c>
      <c r="BQ93" s="61">
        <f t="shared" si="107"/>
        <v>24555791</v>
      </c>
      <c r="BR93" s="159">
        <f t="shared" si="90"/>
        <v>0.94110376888894265</v>
      </c>
      <c r="BS93" s="61">
        <f t="shared" ref="BS93:CI93" si="108">SUM(BS61:BS92)</f>
        <v>1684702369</v>
      </c>
      <c r="BT93" s="61">
        <f t="shared" si="108"/>
        <v>0</v>
      </c>
      <c r="BU93" s="61">
        <f t="shared" si="108"/>
        <v>0</v>
      </c>
      <c r="BV93" s="61">
        <f t="shared" si="108"/>
        <v>0</v>
      </c>
      <c r="BW93" s="61">
        <f t="shared" si="108"/>
        <v>0</v>
      </c>
      <c r="BX93" s="61">
        <f t="shared" si="108"/>
        <v>485265778</v>
      </c>
      <c r="BY93" s="61">
        <f t="shared" si="108"/>
        <v>49797725</v>
      </c>
      <c r="BZ93" s="61">
        <f t="shared" si="108"/>
        <v>0</v>
      </c>
      <c r="CA93" s="61">
        <f t="shared" si="108"/>
        <v>0</v>
      </c>
      <c r="CB93" s="61">
        <f t="shared" si="108"/>
        <v>0</v>
      </c>
      <c r="CC93" s="61">
        <f t="shared" si="108"/>
        <v>0</v>
      </c>
      <c r="CD93" s="61">
        <f t="shared" si="108"/>
        <v>0</v>
      </c>
      <c r="CE93" s="61">
        <f t="shared" si="108"/>
        <v>214647880</v>
      </c>
      <c r="CF93" s="61">
        <f t="shared" si="108"/>
        <v>317313672</v>
      </c>
      <c r="CG93" s="61">
        <f t="shared" si="108"/>
        <v>0</v>
      </c>
      <c r="CH93" s="61">
        <f t="shared" si="108"/>
        <v>0</v>
      </c>
      <c r="CI93" s="61">
        <f t="shared" si="108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617677314</v>
      </c>
      <c r="CN93" s="159">
        <f t="shared" si="81"/>
        <v>5.8896231111057351E-2</v>
      </c>
      <c r="CO93" s="61">
        <f t="shared" ref="CO93:DH93" si="109">SUM(CO61:CO92)</f>
        <v>105432178</v>
      </c>
      <c r="CP93" s="61">
        <f t="shared" si="109"/>
        <v>0</v>
      </c>
      <c r="CQ93" s="61">
        <f t="shared" si="109"/>
        <v>0</v>
      </c>
      <c r="CR93" s="61">
        <f t="shared" si="109"/>
        <v>0</v>
      </c>
      <c r="CS93" s="61">
        <f t="shared" si="109"/>
        <v>34734222</v>
      </c>
      <c r="CT93" s="61">
        <f t="shared" si="109"/>
        <v>202275</v>
      </c>
      <c r="CU93" s="61">
        <f t="shared" si="109"/>
        <v>0</v>
      </c>
      <c r="CV93" s="61">
        <f t="shared" si="109"/>
        <v>0</v>
      </c>
      <c r="CW93" s="61">
        <f t="shared" si="109"/>
        <v>0</v>
      </c>
      <c r="CX93" s="61">
        <f t="shared" si="109"/>
        <v>0</v>
      </c>
      <c r="CY93" s="61">
        <f t="shared" si="109"/>
        <v>0</v>
      </c>
      <c r="CZ93" s="61">
        <f t="shared" si="109"/>
        <v>29352120</v>
      </c>
      <c r="DA93" s="61">
        <f t="shared" si="109"/>
        <v>16587770</v>
      </c>
      <c r="DB93" s="61">
        <f t="shared" si="109"/>
        <v>0</v>
      </c>
      <c r="DC93" s="61">
        <f t="shared" si="109"/>
        <v>0</v>
      </c>
      <c r="DD93" s="61">
        <f t="shared" si="109"/>
        <v>0</v>
      </c>
      <c r="DE93" s="61">
        <f t="shared" si="109"/>
        <v>0</v>
      </c>
      <c r="DF93" s="61">
        <f t="shared" si="109"/>
        <v>0</v>
      </c>
      <c r="DG93" s="61">
        <f t="shared" si="109"/>
        <v>0</v>
      </c>
      <c r="DH93" s="61">
        <f t="shared" si="109"/>
        <v>24555791</v>
      </c>
    </row>
    <row r="94" spans="1:112" ht="6" customHeight="1" thickTop="1" x14ac:dyDescent="0.25">
      <c r="B94" s="74"/>
      <c r="C94" s="75"/>
      <c r="D94" s="76"/>
      <c r="E94" s="77"/>
      <c r="F94" s="78"/>
      <c r="G94" s="79"/>
      <c r="H94" s="79"/>
      <c r="I94" s="79"/>
      <c r="J94" s="79"/>
      <c r="K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1"/>
      <c r="AB94" s="82"/>
      <c r="AC94" s="82"/>
      <c r="AD94" s="82"/>
      <c r="AE94" s="82"/>
      <c r="AF94" s="82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4"/>
      <c r="AX94" s="82"/>
      <c r="AY94" s="82"/>
      <c r="AZ94" s="82"/>
      <c r="BA94" s="82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4"/>
      <c r="BS94" s="82"/>
      <c r="BT94" s="82"/>
      <c r="BU94" s="82"/>
      <c r="BV94" s="82"/>
      <c r="BW94" s="82"/>
      <c r="BX94" s="83"/>
      <c r="BY94" s="83"/>
      <c r="BZ94" s="83"/>
      <c r="CA94" s="83"/>
      <c r="CB94" s="83"/>
      <c r="CC94" s="83"/>
      <c r="CD94" s="83"/>
      <c r="CE94" s="83"/>
      <c r="CF94" s="83"/>
      <c r="CG94" s="83"/>
      <c r="CH94" s="83"/>
      <c r="CI94" s="83"/>
      <c r="CJ94" s="83"/>
      <c r="CK94" s="83"/>
      <c r="CL94" s="83"/>
      <c r="CM94" s="83"/>
      <c r="CN94" s="84"/>
      <c r="CO94" s="82"/>
      <c r="CP94" s="82"/>
      <c r="CQ94" s="82"/>
      <c r="CR94" s="82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</row>
    <row r="95" spans="1:112" s="43" customFormat="1" ht="27.75" customHeight="1" x14ac:dyDescent="0.25">
      <c r="A95" s="256" t="s">
        <v>263</v>
      </c>
      <c r="B95" s="239" t="s">
        <v>264</v>
      </c>
      <c r="C95" s="69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0">SUM(H95:Z95)</f>
        <v>79098382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85000000-2924443-2977175</f>
        <v>79098382</v>
      </c>
      <c r="W95" s="24"/>
      <c r="X95" s="24"/>
      <c r="Y95" s="24"/>
      <c r="Z95" s="24"/>
      <c r="AA95" s="25">
        <f t="shared" ref="AA95:AA133" si="111">+AB95/G95</f>
        <v>0.81667619952074366</v>
      </c>
      <c r="AB95" s="24">
        <f t="shared" ref="AB95:AB112" si="112">SUM(AC95:AV95)</f>
        <v>64597766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+'[4]DICIEMBRE 2016'!$Z$1067</f>
        <v>64597766</v>
      </c>
      <c r="AS95" s="24"/>
      <c r="AT95" s="24"/>
      <c r="AU95" s="24"/>
      <c r="AV95" s="24"/>
      <c r="AW95" s="25">
        <f t="shared" ref="AW95:AW133" si="113">1-AA95</f>
        <v>0.18332380047925634</v>
      </c>
      <c r="AX95" s="24">
        <f t="shared" ref="AX95:AX112" si="114">SUM(AY95:BQ95)</f>
        <v>14500616</v>
      </c>
      <c r="AY95" s="24">
        <f t="shared" ref="AY95:BM109" si="115">H95-AD95</f>
        <v>0</v>
      </c>
      <c r="AZ95" s="24">
        <f t="shared" si="115"/>
        <v>0</v>
      </c>
      <c r="BA95" s="24">
        <f t="shared" si="115"/>
        <v>0</v>
      </c>
      <c r="BB95" s="24">
        <f t="shared" ref="BB95:BM101" si="116">+K95-AG95</f>
        <v>0</v>
      </c>
      <c r="BC95" s="24">
        <f t="shared" si="116"/>
        <v>0</v>
      </c>
      <c r="BD95" s="24">
        <f t="shared" si="116"/>
        <v>0</v>
      </c>
      <c r="BE95" s="24">
        <f t="shared" si="116"/>
        <v>0</v>
      </c>
      <c r="BF95" s="24">
        <f t="shared" si="116"/>
        <v>0</v>
      </c>
      <c r="BG95" s="24">
        <f t="shared" si="116"/>
        <v>0</v>
      </c>
      <c r="BH95" s="24">
        <f t="shared" si="116"/>
        <v>0</v>
      </c>
      <c r="BI95" s="24">
        <f t="shared" si="116"/>
        <v>0</v>
      </c>
      <c r="BJ95" s="24">
        <f t="shared" si="116"/>
        <v>0</v>
      </c>
      <c r="BK95" s="24">
        <f t="shared" si="116"/>
        <v>0</v>
      </c>
      <c r="BL95" s="24">
        <f t="shared" si="116"/>
        <v>0</v>
      </c>
      <c r="BM95" s="24">
        <f t="shared" si="116"/>
        <v>14500616</v>
      </c>
      <c r="BN95" s="24"/>
      <c r="BO95" s="24"/>
      <c r="BP95" s="24">
        <f t="shared" ref="BP95:BP109" si="117">Y95-AU95</f>
        <v>0</v>
      </c>
      <c r="BQ95" s="24">
        <f t="shared" ref="BQ95:BQ101" si="118">+Z95-AV95</f>
        <v>0</v>
      </c>
      <c r="BR95" s="25">
        <f t="shared" ref="BR95:BR133" si="119">+BS95/G95</f>
        <v>0.81667619952074366</v>
      </c>
      <c r="BS95" s="24">
        <f t="shared" ref="BS95:BS112" si="120">SUM(BT95:CM95)</f>
        <v>64597766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+'[4]DICIEMBRE 2016'!$H$1065</f>
        <v>64597766</v>
      </c>
      <c r="CJ95" s="24"/>
      <c r="CK95" s="24"/>
      <c r="CL95" s="24"/>
      <c r="CM95" s="24"/>
      <c r="CN95" s="25">
        <f t="shared" ref="CN95:CN133" si="121">1-BR95</f>
        <v>0.18332380047925634</v>
      </c>
      <c r="CO95" s="24">
        <f t="shared" ref="CO95:CO112" si="122">SUM(CP95:DH95)</f>
        <v>14500616</v>
      </c>
      <c r="CP95" s="24">
        <f t="shared" ref="CP95:CX109" si="123">H95-BU95</f>
        <v>0</v>
      </c>
      <c r="CQ95" s="24">
        <f t="shared" si="123"/>
        <v>0</v>
      </c>
      <c r="CR95" s="24">
        <f t="shared" si="123"/>
        <v>0</v>
      </c>
      <c r="CS95" s="24">
        <f t="shared" si="123"/>
        <v>0</v>
      </c>
      <c r="CT95" s="24">
        <f t="shared" si="123"/>
        <v>0</v>
      </c>
      <c r="CU95" s="24">
        <f t="shared" si="123"/>
        <v>0</v>
      </c>
      <c r="CV95" s="24">
        <f t="shared" ref="CV95:CX100" si="124">+N95-CA95</f>
        <v>0</v>
      </c>
      <c r="CW95" s="24">
        <f t="shared" si="124"/>
        <v>0</v>
      </c>
      <c r="CX95" s="24">
        <f t="shared" si="124"/>
        <v>0</v>
      </c>
      <c r="CY95" s="24">
        <f t="shared" ref="CY95:DA109" si="125">Q95-CD95</f>
        <v>0</v>
      </c>
      <c r="CZ95" s="24">
        <f t="shared" si="125"/>
        <v>0</v>
      </c>
      <c r="DA95" s="24">
        <f t="shared" si="125"/>
        <v>0</v>
      </c>
      <c r="DB95" s="24">
        <f t="shared" ref="DB95:DD101" si="126">+T95-CG95</f>
        <v>0</v>
      </c>
      <c r="DC95" s="24">
        <f t="shared" si="126"/>
        <v>0</v>
      </c>
      <c r="DD95" s="24">
        <f t="shared" si="126"/>
        <v>14500616</v>
      </c>
      <c r="DE95" s="24"/>
      <c r="DF95" s="24">
        <f t="shared" ref="DF95:DH101" si="127">+X95-CK95</f>
        <v>0</v>
      </c>
      <c r="DG95" s="24">
        <f t="shared" si="127"/>
        <v>0</v>
      </c>
      <c r="DH95" s="24">
        <f t="shared" si="127"/>
        <v>0</v>
      </c>
    </row>
    <row r="96" spans="1:112" s="43" customFormat="1" ht="25.5" customHeight="1" x14ac:dyDescent="0.25">
      <c r="A96" s="256"/>
      <c r="B96" s="240"/>
      <c r="C96" s="69" t="s">
        <v>268</v>
      </c>
      <c r="D96" s="21" t="s">
        <v>269</v>
      </c>
      <c r="E96" s="22">
        <v>301</v>
      </c>
      <c r="F96" s="23" t="s">
        <v>267</v>
      </c>
      <c r="G96" s="24">
        <f t="shared" si="110"/>
        <v>60901618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55000000+2924443+2977175</f>
        <v>60901618</v>
      </c>
      <c r="W96" s="24"/>
      <c r="X96" s="24"/>
      <c r="Y96" s="24"/>
      <c r="Z96" s="24"/>
      <c r="AA96" s="25">
        <f t="shared" si="111"/>
        <v>0.98409452766919925</v>
      </c>
      <c r="AB96" s="24">
        <f t="shared" si="112"/>
        <v>59932949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+'[4]DICIEMBRE 2016'!$Z$1098</f>
        <v>59932949</v>
      </c>
      <c r="AS96" s="24"/>
      <c r="AT96" s="24"/>
      <c r="AU96" s="24"/>
      <c r="AV96" s="24"/>
      <c r="AW96" s="25">
        <f t="shared" si="113"/>
        <v>1.5905472330800752E-2</v>
      </c>
      <c r="AX96" s="24">
        <f t="shared" si="114"/>
        <v>968669</v>
      </c>
      <c r="AY96" s="24">
        <f t="shared" si="115"/>
        <v>0</v>
      </c>
      <c r="AZ96" s="24">
        <f t="shared" si="115"/>
        <v>0</v>
      </c>
      <c r="BA96" s="24">
        <f t="shared" si="115"/>
        <v>0</v>
      </c>
      <c r="BB96" s="24">
        <f t="shared" si="116"/>
        <v>0</v>
      </c>
      <c r="BC96" s="24">
        <f t="shared" si="116"/>
        <v>0</v>
      </c>
      <c r="BD96" s="24">
        <f t="shared" si="116"/>
        <v>0</v>
      </c>
      <c r="BE96" s="24">
        <f t="shared" si="116"/>
        <v>0</v>
      </c>
      <c r="BF96" s="24">
        <f t="shared" si="116"/>
        <v>0</v>
      </c>
      <c r="BG96" s="24">
        <f t="shared" si="116"/>
        <v>0</v>
      </c>
      <c r="BH96" s="24">
        <f t="shared" si="116"/>
        <v>0</v>
      </c>
      <c r="BI96" s="24">
        <f t="shared" si="116"/>
        <v>0</v>
      </c>
      <c r="BJ96" s="24">
        <f t="shared" si="116"/>
        <v>0</v>
      </c>
      <c r="BK96" s="24">
        <f t="shared" si="116"/>
        <v>0</v>
      </c>
      <c r="BL96" s="24">
        <f t="shared" si="116"/>
        <v>0</v>
      </c>
      <c r="BM96" s="24">
        <f t="shared" si="116"/>
        <v>968669</v>
      </c>
      <c r="BN96" s="24"/>
      <c r="BO96" s="24"/>
      <c r="BP96" s="24">
        <f t="shared" si="117"/>
        <v>0</v>
      </c>
      <c r="BQ96" s="24">
        <f t="shared" si="118"/>
        <v>0</v>
      </c>
      <c r="BR96" s="25">
        <f t="shared" si="119"/>
        <v>0.98409452766919925</v>
      </c>
      <c r="BS96" s="24">
        <f t="shared" si="120"/>
        <v>59932949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+'[4]DICIEMBRE 2016'!$Z$1098</f>
        <v>59932949</v>
      </c>
      <c r="CJ96" s="24"/>
      <c r="CK96" s="24"/>
      <c r="CL96" s="24"/>
      <c r="CM96" s="24"/>
      <c r="CN96" s="25">
        <f t="shared" si="121"/>
        <v>1.5905472330800752E-2</v>
      </c>
      <c r="CO96" s="24">
        <f t="shared" si="122"/>
        <v>968669</v>
      </c>
      <c r="CP96" s="24">
        <f t="shared" si="123"/>
        <v>0</v>
      </c>
      <c r="CQ96" s="24">
        <f t="shared" si="123"/>
        <v>0</v>
      </c>
      <c r="CR96" s="24">
        <f t="shared" si="123"/>
        <v>0</v>
      </c>
      <c r="CS96" s="24">
        <f t="shared" si="123"/>
        <v>0</v>
      </c>
      <c r="CT96" s="24">
        <f t="shared" si="123"/>
        <v>0</v>
      </c>
      <c r="CU96" s="24">
        <f t="shared" si="123"/>
        <v>0</v>
      </c>
      <c r="CV96" s="24">
        <f t="shared" si="124"/>
        <v>0</v>
      </c>
      <c r="CW96" s="24">
        <f t="shared" si="124"/>
        <v>0</v>
      </c>
      <c r="CX96" s="24">
        <f t="shared" si="124"/>
        <v>0</v>
      </c>
      <c r="CY96" s="24">
        <f t="shared" si="125"/>
        <v>0</v>
      </c>
      <c r="CZ96" s="24">
        <f t="shared" si="125"/>
        <v>0</v>
      </c>
      <c r="DA96" s="24">
        <f t="shared" si="125"/>
        <v>0</v>
      </c>
      <c r="DB96" s="24">
        <f t="shared" si="126"/>
        <v>0</v>
      </c>
      <c r="DC96" s="24">
        <f t="shared" si="126"/>
        <v>0</v>
      </c>
      <c r="DD96" s="24">
        <f t="shared" si="126"/>
        <v>968669</v>
      </c>
      <c r="DE96" s="24"/>
      <c r="DF96" s="24">
        <f t="shared" si="127"/>
        <v>0</v>
      </c>
      <c r="DG96" s="24">
        <f t="shared" si="127"/>
        <v>0</v>
      </c>
      <c r="DH96" s="24">
        <f t="shared" si="127"/>
        <v>0</v>
      </c>
    </row>
    <row r="97" spans="1:112" s="43" customFormat="1" ht="21.75" customHeight="1" x14ac:dyDescent="0.25">
      <c r="A97" s="256"/>
      <c r="B97" s="240"/>
      <c r="C97" s="69" t="s">
        <v>270</v>
      </c>
      <c r="D97" s="21" t="s">
        <v>271</v>
      </c>
      <c r="E97" s="22">
        <v>301</v>
      </c>
      <c r="F97" s="23" t="s">
        <v>267</v>
      </c>
      <c r="G97" s="24">
        <f t="shared" si="110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1"/>
        <v>0.90678784974093263</v>
      </c>
      <c r="AB97" s="24">
        <f t="shared" si="112"/>
        <v>35002011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+'[4]DICIEMBRE 2016'!$Z$1123</f>
        <v>35002011</v>
      </c>
      <c r="AS97" s="24"/>
      <c r="AT97" s="24"/>
      <c r="AU97" s="24"/>
      <c r="AV97" s="24"/>
      <c r="AW97" s="25">
        <f t="shared" si="113"/>
        <v>9.3212150259067372E-2</v>
      </c>
      <c r="AX97" s="24">
        <f t="shared" si="114"/>
        <v>3597989</v>
      </c>
      <c r="AY97" s="24">
        <f t="shared" si="115"/>
        <v>0</v>
      </c>
      <c r="AZ97" s="24">
        <f t="shared" si="115"/>
        <v>0</v>
      </c>
      <c r="BA97" s="24">
        <f t="shared" si="115"/>
        <v>0</v>
      </c>
      <c r="BB97" s="24">
        <f t="shared" si="116"/>
        <v>0</v>
      </c>
      <c r="BC97" s="24">
        <f t="shared" si="116"/>
        <v>0</v>
      </c>
      <c r="BD97" s="24">
        <f t="shared" si="116"/>
        <v>0</v>
      </c>
      <c r="BE97" s="24">
        <f t="shared" si="116"/>
        <v>0</v>
      </c>
      <c r="BF97" s="24">
        <f t="shared" si="116"/>
        <v>0</v>
      </c>
      <c r="BG97" s="24">
        <f t="shared" si="116"/>
        <v>0</v>
      </c>
      <c r="BH97" s="24">
        <f t="shared" si="116"/>
        <v>0</v>
      </c>
      <c r="BI97" s="24">
        <f t="shared" si="116"/>
        <v>0</v>
      </c>
      <c r="BJ97" s="24">
        <f t="shared" si="116"/>
        <v>0</v>
      </c>
      <c r="BK97" s="24">
        <f t="shared" si="116"/>
        <v>0</v>
      </c>
      <c r="BL97" s="24">
        <f t="shared" si="116"/>
        <v>0</v>
      </c>
      <c r="BM97" s="24">
        <f t="shared" si="116"/>
        <v>3597989</v>
      </c>
      <c r="BN97" s="24"/>
      <c r="BO97" s="24"/>
      <c r="BP97" s="24">
        <f t="shared" si="117"/>
        <v>0</v>
      </c>
      <c r="BQ97" s="24">
        <f t="shared" si="118"/>
        <v>0</v>
      </c>
      <c r="BR97" s="25">
        <f t="shared" si="119"/>
        <v>0.90678784974093263</v>
      </c>
      <c r="BS97" s="24">
        <f t="shared" si="120"/>
        <v>35002011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+'[4]DICIEMBRE 2016'!$Z$1123</f>
        <v>35002011</v>
      </c>
      <c r="CJ97" s="24"/>
      <c r="CK97" s="24"/>
      <c r="CL97" s="24"/>
      <c r="CM97" s="24"/>
      <c r="CN97" s="25">
        <f t="shared" si="121"/>
        <v>9.3212150259067372E-2</v>
      </c>
      <c r="CO97" s="24">
        <f t="shared" si="122"/>
        <v>3597989</v>
      </c>
      <c r="CP97" s="24">
        <f t="shared" si="123"/>
        <v>0</v>
      </c>
      <c r="CQ97" s="24">
        <f t="shared" si="123"/>
        <v>0</v>
      </c>
      <c r="CR97" s="24">
        <f t="shared" si="123"/>
        <v>0</v>
      </c>
      <c r="CS97" s="24">
        <f t="shared" si="123"/>
        <v>0</v>
      </c>
      <c r="CT97" s="24">
        <f t="shared" si="123"/>
        <v>0</v>
      </c>
      <c r="CU97" s="24">
        <f t="shared" si="123"/>
        <v>0</v>
      </c>
      <c r="CV97" s="24">
        <f t="shared" si="124"/>
        <v>0</v>
      </c>
      <c r="CW97" s="24">
        <f t="shared" si="124"/>
        <v>0</v>
      </c>
      <c r="CX97" s="24">
        <f t="shared" si="124"/>
        <v>0</v>
      </c>
      <c r="CY97" s="24">
        <f t="shared" si="125"/>
        <v>0</v>
      </c>
      <c r="CZ97" s="24">
        <f t="shared" si="125"/>
        <v>0</v>
      </c>
      <c r="DA97" s="24">
        <f t="shared" si="125"/>
        <v>0</v>
      </c>
      <c r="DB97" s="24">
        <f t="shared" si="126"/>
        <v>0</v>
      </c>
      <c r="DC97" s="24">
        <f t="shared" si="126"/>
        <v>0</v>
      </c>
      <c r="DD97" s="24">
        <f t="shared" si="126"/>
        <v>3597989</v>
      </c>
      <c r="DE97" s="24"/>
      <c r="DF97" s="24">
        <f t="shared" si="127"/>
        <v>0</v>
      </c>
      <c r="DG97" s="24">
        <f t="shared" si="127"/>
        <v>0</v>
      </c>
      <c r="DH97" s="24">
        <f t="shared" si="127"/>
        <v>0</v>
      </c>
    </row>
    <row r="98" spans="1:112" ht="31.5" customHeight="1" x14ac:dyDescent="0.25">
      <c r="A98" s="256"/>
      <c r="B98" s="240"/>
      <c r="C98" s="69" t="s">
        <v>272</v>
      </c>
      <c r="D98" s="21" t="s">
        <v>273</v>
      </c>
      <c r="E98" s="22">
        <v>301</v>
      </c>
      <c r="F98" s="23" t="s">
        <v>274</v>
      </c>
      <c r="G98" s="24">
        <f t="shared" si="110"/>
        <v>73000000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25000000+1000000+5000000+20000000+20000000</f>
        <v>71000000</v>
      </c>
      <c r="AA98" s="25">
        <f t="shared" si="111"/>
        <v>0.938277904109589</v>
      </c>
      <c r="AB98" s="24">
        <f>SUM(AC98:AV98)</f>
        <v>68494287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+'[9]AGOSTO 2016'!$Z$680</f>
        <v>2000000</v>
      </c>
      <c r="AS98" s="24"/>
      <c r="AT98" s="24"/>
      <c r="AU98" s="24"/>
      <c r="AV98" s="24">
        <f>+'[4]DICIEMBRE 2016'!$AG$1142</f>
        <v>66494287</v>
      </c>
      <c r="AW98" s="25">
        <f t="shared" si="113"/>
        <v>6.1722095890411E-2</v>
      </c>
      <c r="AX98" s="24">
        <f t="shared" si="114"/>
        <v>4505713</v>
      </c>
      <c r="AY98" s="24">
        <f t="shared" si="115"/>
        <v>0</v>
      </c>
      <c r="AZ98" s="24">
        <f t="shared" si="115"/>
        <v>0</v>
      </c>
      <c r="BA98" s="24">
        <f t="shared" si="115"/>
        <v>0</v>
      </c>
      <c r="BB98" s="24">
        <f t="shared" si="116"/>
        <v>0</v>
      </c>
      <c r="BC98" s="24">
        <f t="shared" si="116"/>
        <v>0</v>
      </c>
      <c r="BD98" s="24">
        <f t="shared" si="116"/>
        <v>0</v>
      </c>
      <c r="BE98" s="24">
        <f t="shared" si="116"/>
        <v>0</v>
      </c>
      <c r="BF98" s="24">
        <f t="shared" si="116"/>
        <v>0</v>
      </c>
      <c r="BG98" s="24">
        <f t="shared" si="116"/>
        <v>0</v>
      </c>
      <c r="BH98" s="24">
        <f t="shared" si="116"/>
        <v>0</v>
      </c>
      <c r="BI98" s="24">
        <f t="shared" si="116"/>
        <v>0</v>
      </c>
      <c r="BJ98" s="24">
        <f t="shared" si="116"/>
        <v>0</v>
      </c>
      <c r="BK98" s="24">
        <f t="shared" si="116"/>
        <v>0</v>
      </c>
      <c r="BL98" s="24">
        <f t="shared" si="116"/>
        <v>0</v>
      </c>
      <c r="BM98" s="24">
        <f t="shared" si="116"/>
        <v>0</v>
      </c>
      <c r="BN98" s="24"/>
      <c r="BO98" s="24"/>
      <c r="BP98" s="24">
        <f t="shared" si="117"/>
        <v>0</v>
      </c>
      <c r="BQ98" s="24">
        <f t="shared" si="118"/>
        <v>4505713</v>
      </c>
      <c r="BR98" s="25">
        <f t="shared" si="119"/>
        <v>0.938277904109589</v>
      </c>
      <c r="BS98" s="24">
        <f t="shared" si="120"/>
        <v>68494287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+'[4]DICIEMBRE 2016'!$AG$1142</f>
        <v>66494287</v>
      </c>
      <c r="CN98" s="25">
        <f t="shared" si="121"/>
        <v>6.1722095890411E-2</v>
      </c>
      <c r="CO98" s="24">
        <f t="shared" si="122"/>
        <v>4505713</v>
      </c>
      <c r="CP98" s="24">
        <f t="shared" si="123"/>
        <v>0</v>
      </c>
      <c r="CQ98" s="24">
        <f t="shared" si="123"/>
        <v>0</v>
      </c>
      <c r="CR98" s="24">
        <f t="shared" si="123"/>
        <v>0</v>
      </c>
      <c r="CS98" s="24">
        <f t="shared" si="123"/>
        <v>0</v>
      </c>
      <c r="CT98" s="24">
        <f t="shared" si="123"/>
        <v>0</v>
      </c>
      <c r="CU98" s="24">
        <f t="shared" si="123"/>
        <v>0</v>
      </c>
      <c r="CV98" s="24">
        <f t="shared" si="124"/>
        <v>0</v>
      </c>
      <c r="CW98" s="24">
        <f t="shared" si="124"/>
        <v>0</v>
      </c>
      <c r="CX98" s="24">
        <f t="shared" si="124"/>
        <v>0</v>
      </c>
      <c r="CY98" s="24">
        <f t="shared" si="125"/>
        <v>0</v>
      </c>
      <c r="CZ98" s="24">
        <f t="shared" si="125"/>
        <v>0</v>
      </c>
      <c r="DA98" s="24">
        <f t="shared" si="125"/>
        <v>0</v>
      </c>
      <c r="DB98" s="24">
        <f t="shared" si="126"/>
        <v>0</v>
      </c>
      <c r="DC98" s="24">
        <f t="shared" si="126"/>
        <v>0</v>
      </c>
      <c r="DD98" s="24">
        <f t="shared" si="126"/>
        <v>0</v>
      </c>
      <c r="DE98" s="24"/>
      <c r="DF98" s="24">
        <f t="shared" si="127"/>
        <v>0</v>
      </c>
      <c r="DG98" s="24">
        <f t="shared" si="127"/>
        <v>0</v>
      </c>
      <c r="DH98" s="24">
        <f t="shared" si="127"/>
        <v>4505713</v>
      </c>
    </row>
    <row r="99" spans="1:112" ht="24.75" customHeight="1" x14ac:dyDescent="0.25">
      <c r="A99" s="256"/>
      <c r="B99" s="240"/>
      <c r="C99" s="69" t="s">
        <v>275</v>
      </c>
      <c r="D99" s="21" t="s">
        <v>276</v>
      </c>
      <c r="E99" s="22">
        <v>301</v>
      </c>
      <c r="F99" s="23" t="s">
        <v>267</v>
      </c>
      <c r="G99" s="24">
        <f t="shared" si="110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1"/>
        <v>0.99650888235294122</v>
      </c>
      <c r="AB99" s="24">
        <f t="shared" si="112"/>
        <v>33881302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+'[5]NOVIEMBRE 2016'!$Z$1111</f>
        <v>33881302</v>
      </c>
      <c r="AS99" s="24"/>
      <c r="AT99" s="24"/>
      <c r="AU99" s="24"/>
      <c r="AV99" s="24"/>
      <c r="AW99" s="25">
        <f t="shared" si="113"/>
        <v>3.4911176470587835E-3</v>
      </c>
      <c r="AX99" s="24">
        <f t="shared" si="114"/>
        <v>118698</v>
      </c>
      <c r="AY99" s="24">
        <f t="shared" si="115"/>
        <v>0</v>
      </c>
      <c r="AZ99" s="24">
        <f t="shared" si="115"/>
        <v>0</v>
      </c>
      <c r="BA99" s="24">
        <f t="shared" si="115"/>
        <v>0</v>
      </c>
      <c r="BB99" s="24">
        <f t="shared" si="116"/>
        <v>0</v>
      </c>
      <c r="BC99" s="24">
        <f t="shared" si="116"/>
        <v>0</v>
      </c>
      <c r="BD99" s="24">
        <f t="shared" si="116"/>
        <v>0</v>
      </c>
      <c r="BE99" s="24">
        <f t="shared" si="116"/>
        <v>0</v>
      </c>
      <c r="BF99" s="24">
        <f t="shared" si="116"/>
        <v>0</v>
      </c>
      <c r="BG99" s="24">
        <f t="shared" si="116"/>
        <v>0</v>
      </c>
      <c r="BH99" s="24">
        <f t="shared" si="116"/>
        <v>0</v>
      </c>
      <c r="BI99" s="24">
        <f t="shared" si="116"/>
        <v>0</v>
      </c>
      <c r="BJ99" s="24">
        <f t="shared" si="116"/>
        <v>0</v>
      </c>
      <c r="BK99" s="24">
        <f t="shared" si="116"/>
        <v>0</v>
      </c>
      <c r="BL99" s="24">
        <f t="shared" si="116"/>
        <v>0</v>
      </c>
      <c r="BM99" s="24">
        <f t="shared" si="116"/>
        <v>118698</v>
      </c>
      <c r="BN99" s="24"/>
      <c r="BO99" s="24"/>
      <c r="BP99" s="24">
        <f t="shared" si="117"/>
        <v>0</v>
      </c>
      <c r="BQ99" s="24">
        <f t="shared" si="118"/>
        <v>0</v>
      </c>
      <c r="BR99" s="25">
        <f t="shared" si="119"/>
        <v>0.99650888235294122</v>
      </c>
      <c r="BS99" s="24">
        <f t="shared" si="120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+'[5]NOVIEMBRE 2016'!$H$1109</f>
        <v>33881302</v>
      </c>
      <c r="CJ99" s="24"/>
      <c r="CK99" s="24"/>
      <c r="CL99" s="24"/>
      <c r="CM99" s="24"/>
      <c r="CN99" s="25">
        <f t="shared" si="121"/>
        <v>3.4911176470587835E-3</v>
      </c>
      <c r="CO99" s="24">
        <f t="shared" si="122"/>
        <v>118698</v>
      </c>
      <c r="CP99" s="24">
        <f t="shared" si="123"/>
        <v>0</v>
      </c>
      <c r="CQ99" s="24">
        <f t="shared" si="123"/>
        <v>0</v>
      </c>
      <c r="CR99" s="24">
        <f t="shared" si="123"/>
        <v>0</v>
      </c>
      <c r="CS99" s="24">
        <f t="shared" si="123"/>
        <v>0</v>
      </c>
      <c r="CT99" s="24">
        <f t="shared" si="123"/>
        <v>0</v>
      </c>
      <c r="CU99" s="24">
        <f t="shared" si="123"/>
        <v>0</v>
      </c>
      <c r="CV99" s="24">
        <f t="shared" si="124"/>
        <v>0</v>
      </c>
      <c r="CW99" s="24">
        <f t="shared" si="124"/>
        <v>0</v>
      </c>
      <c r="CX99" s="24">
        <f t="shared" si="124"/>
        <v>0</v>
      </c>
      <c r="CY99" s="24">
        <f t="shared" si="125"/>
        <v>0</v>
      </c>
      <c r="CZ99" s="24">
        <f t="shared" si="125"/>
        <v>0</v>
      </c>
      <c r="DA99" s="24">
        <f t="shared" si="125"/>
        <v>0</v>
      </c>
      <c r="DB99" s="24">
        <f t="shared" si="126"/>
        <v>0</v>
      </c>
      <c r="DC99" s="24">
        <f t="shared" si="126"/>
        <v>0</v>
      </c>
      <c r="DD99" s="24">
        <f t="shared" si="126"/>
        <v>118698</v>
      </c>
      <c r="DE99" s="24"/>
      <c r="DF99" s="24">
        <f t="shared" si="127"/>
        <v>0</v>
      </c>
      <c r="DG99" s="24">
        <f t="shared" si="127"/>
        <v>0</v>
      </c>
      <c r="DH99" s="24">
        <f t="shared" si="127"/>
        <v>0</v>
      </c>
    </row>
    <row r="100" spans="1:112" ht="20.25" customHeight="1" x14ac:dyDescent="0.25">
      <c r="A100" s="256"/>
      <c r="B100" s="240"/>
      <c r="C100" s="69" t="s">
        <v>277</v>
      </c>
      <c r="D100" s="21" t="s">
        <v>278</v>
      </c>
      <c r="E100" s="22">
        <v>301</v>
      </c>
      <c r="F100" s="23" t="s">
        <v>190</v>
      </c>
      <c r="G100" s="24">
        <f t="shared" si="110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1"/>
        <v>0.90455957879404347</v>
      </c>
      <c r="AB100" s="24">
        <f t="shared" si="112"/>
        <v>102382670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+'[2]DICIEMBRE 2016'!$Y$1194</f>
        <v>48042599</v>
      </c>
      <c r="AR100" s="24">
        <f>+'[4]DICIEMBRE 2016'!$Z$1199</f>
        <v>54340071</v>
      </c>
      <c r="AS100" s="24"/>
      <c r="AT100" s="24"/>
      <c r="AU100" s="24"/>
      <c r="AV100" s="24"/>
      <c r="AW100" s="25">
        <f t="shared" si="113"/>
        <v>9.5440421205956527E-2</v>
      </c>
      <c r="AX100" s="24">
        <f t="shared" si="114"/>
        <v>10802434</v>
      </c>
      <c r="AY100" s="24">
        <f t="shared" si="115"/>
        <v>0</v>
      </c>
      <c r="AZ100" s="24">
        <f t="shared" si="115"/>
        <v>0</v>
      </c>
      <c r="BA100" s="24">
        <f t="shared" si="115"/>
        <v>0</v>
      </c>
      <c r="BB100" s="24">
        <f t="shared" si="116"/>
        <v>0</v>
      </c>
      <c r="BC100" s="24">
        <f t="shared" si="116"/>
        <v>0</v>
      </c>
      <c r="BD100" s="24">
        <f t="shared" si="116"/>
        <v>0</v>
      </c>
      <c r="BE100" s="24">
        <f t="shared" si="116"/>
        <v>0</v>
      </c>
      <c r="BF100" s="24">
        <f t="shared" si="116"/>
        <v>0</v>
      </c>
      <c r="BG100" s="24">
        <f t="shared" si="116"/>
        <v>0</v>
      </c>
      <c r="BH100" s="24">
        <f t="shared" si="116"/>
        <v>0</v>
      </c>
      <c r="BI100" s="24">
        <f t="shared" si="116"/>
        <v>0</v>
      </c>
      <c r="BJ100" s="24">
        <f t="shared" si="116"/>
        <v>0</v>
      </c>
      <c r="BK100" s="24">
        <f t="shared" si="116"/>
        <v>0</v>
      </c>
      <c r="BL100" s="24">
        <f t="shared" si="116"/>
        <v>5142505</v>
      </c>
      <c r="BM100" s="24">
        <f t="shared" si="116"/>
        <v>5659929</v>
      </c>
      <c r="BN100" s="24"/>
      <c r="BO100" s="24"/>
      <c r="BP100" s="24">
        <f t="shared" si="117"/>
        <v>0</v>
      </c>
      <c r="BQ100" s="24">
        <f t="shared" si="118"/>
        <v>0</v>
      </c>
      <c r="BR100" s="25">
        <f t="shared" si="119"/>
        <v>0.90455957879404347</v>
      </c>
      <c r="BS100" s="24">
        <f t="shared" si="120"/>
        <v>102382670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+'[5]NOVIEMBRE 2016'!$H$1149</f>
        <v>48042599</v>
      </c>
      <c r="CI100" s="24">
        <f>+'[4]DICIEMBRE 2016'!$Z$1199</f>
        <v>54340071</v>
      </c>
      <c r="CJ100" s="24"/>
      <c r="CK100" s="24"/>
      <c r="CL100" s="24"/>
      <c r="CM100" s="24"/>
      <c r="CN100" s="25">
        <f t="shared" si="121"/>
        <v>9.5440421205956527E-2</v>
      </c>
      <c r="CO100" s="24">
        <f t="shared" si="122"/>
        <v>10802434</v>
      </c>
      <c r="CP100" s="24">
        <f t="shared" si="123"/>
        <v>0</v>
      </c>
      <c r="CQ100" s="24">
        <f t="shared" si="123"/>
        <v>0</v>
      </c>
      <c r="CR100" s="24">
        <f t="shared" si="123"/>
        <v>0</v>
      </c>
      <c r="CS100" s="24">
        <f t="shared" si="123"/>
        <v>0</v>
      </c>
      <c r="CT100" s="24">
        <f t="shared" si="123"/>
        <v>0</v>
      </c>
      <c r="CU100" s="24">
        <f t="shared" si="123"/>
        <v>0</v>
      </c>
      <c r="CV100" s="24">
        <f t="shared" si="124"/>
        <v>0</v>
      </c>
      <c r="CW100" s="24">
        <f t="shared" si="124"/>
        <v>0</v>
      </c>
      <c r="CX100" s="24">
        <f t="shared" si="124"/>
        <v>0</v>
      </c>
      <c r="CY100" s="24">
        <f t="shared" si="125"/>
        <v>0</v>
      </c>
      <c r="CZ100" s="24">
        <f t="shared" si="125"/>
        <v>0</v>
      </c>
      <c r="DA100" s="24">
        <f t="shared" si="125"/>
        <v>0</v>
      </c>
      <c r="DB100" s="24">
        <f t="shared" si="126"/>
        <v>0</v>
      </c>
      <c r="DC100" s="24">
        <f t="shared" si="126"/>
        <v>5142505</v>
      </c>
      <c r="DD100" s="24">
        <f t="shared" si="126"/>
        <v>5659929</v>
      </c>
      <c r="DE100" s="24"/>
      <c r="DF100" s="24">
        <f t="shared" si="127"/>
        <v>0</v>
      </c>
      <c r="DG100" s="24">
        <f t="shared" si="127"/>
        <v>0</v>
      </c>
      <c r="DH100" s="24">
        <f t="shared" si="127"/>
        <v>0</v>
      </c>
    </row>
    <row r="101" spans="1:112" ht="21" customHeight="1" x14ac:dyDescent="0.25">
      <c r="A101" s="256"/>
      <c r="B101" s="240"/>
      <c r="C101" s="69" t="s">
        <v>279</v>
      </c>
      <c r="D101" s="21" t="s">
        <v>280</v>
      </c>
      <c r="E101" s="22">
        <v>301</v>
      </c>
      <c r="F101" s="23" t="s">
        <v>281</v>
      </c>
      <c r="G101" s="24">
        <f t="shared" si="110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 t="e">
        <f t="shared" si="111"/>
        <v>#DIV/0!</v>
      </c>
      <c r="AB101" s="24">
        <f t="shared" si="112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 t="e">
        <f t="shared" si="113"/>
        <v>#DIV/0!</v>
      </c>
      <c r="AX101" s="24">
        <f t="shared" si="114"/>
        <v>0</v>
      </c>
      <c r="AY101" s="24">
        <f t="shared" si="115"/>
        <v>0</v>
      </c>
      <c r="AZ101" s="24">
        <f t="shared" si="115"/>
        <v>0</v>
      </c>
      <c r="BA101" s="24">
        <f t="shared" si="115"/>
        <v>0</v>
      </c>
      <c r="BB101" s="24">
        <f t="shared" si="116"/>
        <v>0</v>
      </c>
      <c r="BC101" s="24">
        <f t="shared" si="116"/>
        <v>0</v>
      </c>
      <c r="BD101" s="24">
        <f t="shared" si="116"/>
        <v>0</v>
      </c>
      <c r="BE101" s="24">
        <f t="shared" si="116"/>
        <v>0</v>
      </c>
      <c r="BF101" s="24">
        <f t="shared" si="116"/>
        <v>0</v>
      </c>
      <c r="BG101" s="24">
        <f t="shared" si="116"/>
        <v>0</v>
      </c>
      <c r="BH101" s="24">
        <f t="shared" si="116"/>
        <v>0</v>
      </c>
      <c r="BI101" s="24">
        <f t="shared" si="116"/>
        <v>0</v>
      </c>
      <c r="BJ101" s="24">
        <f t="shared" si="116"/>
        <v>0</v>
      </c>
      <c r="BK101" s="24">
        <f t="shared" si="116"/>
        <v>0</v>
      </c>
      <c r="BL101" s="24">
        <f t="shared" si="116"/>
        <v>0</v>
      </c>
      <c r="BM101" s="24">
        <f t="shared" si="116"/>
        <v>0</v>
      </c>
      <c r="BN101" s="24"/>
      <c r="BO101" s="24"/>
      <c r="BP101" s="24">
        <f t="shared" si="117"/>
        <v>0</v>
      </c>
      <c r="BQ101" s="24">
        <f t="shared" si="118"/>
        <v>0</v>
      </c>
      <c r="BR101" s="25" t="e">
        <f t="shared" si="119"/>
        <v>#DIV/0!</v>
      </c>
      <c r="BS101" s="24">
        <f t="shared" si="120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 t="e">
        <f t="shared" si="121"/>
        <v>#DIV/0!</v>
      </c>
      <c r="CO101" s="24">
        <f t="shared" si="122"/>
        <v>0</v>
      </c>
      <c r="CP101" s="24">
        <f t="shared" si="123"/>
        <v>0</v>
      </c>
      <c r="CQ101" s="24">
        <f t="shared" si="123"/>
        <v>0</v>
      </c>
      <c r="CR101" s="24">
        <f t="shared" si="123"/>
        <v>0</v>
      </c>
      <c r="CS101" s="24">
        <f t="shared" si="123"/>
        <v>0</v>
      </c>
      <c r="CT101" s="24">
        <f t="shared" si="123"/>
        <v>0</v>
      </c>
      <c r="CU101" s="24">
        <f t="shared" si="123"/>
        <v>0</v>
      </c>
      <c r="CV101" s="24">
        <f t="shared" si="123"/>
        <v>0</v>
      </c>
      <c r="CW101" s="24">
        <f t="shared" si="123"/>
        <v>0</v>
      </c>
      <c r="CX101" s="24">
        <f t="shared" si="123"/>
        <v>0</v>
      </c>
      <c r="CY101" s="24">
        <f t="shared" si="125"/>
        <v>0</v>
      </c>
      <c r="CZ101" s="24">
        <f t="shared" si="125"/>
        <v>0</v>
      </c>
      <c r="DA101" s="24">
        <f t="shared" si="125"/>
        <v>0</v>
      </c>
      <c r="DB101" s="24">
        <f t="shared" si="126"/>
        <v>0</v>
      </c>
      <c r="DC101" s="24">
        <f t="shared" si="126"/>
        <v>0</v>
      </c>
      <c r="DD101" s="24">
        <f t="shared" si="126"/>
        <v>0</v>
      </c>
      <c r="DE101" s="24"/>
      <c r="DF101" s="24">
        <f t="shared" si="127"/>
        <v>0</v>
      </c>
      <c r="DG101" s="24">
        <f t="shared" si="127"/>
        <v>0</v>
      </c>
      <c r="DH101" s="24">
        <f t="shared" si="127"/>
        <v>0</v>
      </c>
    </row>
    <row r="102" spans="1:112" ht="30" x14ac:dyDescent="0.25">
      <c r="A102" s="256"/>
      <c r="B102" s="241"/>
      <c r="C102" s="69" t="s">
        <v>282</v>
      </c>
      <c r="D102" s="21" t="s">
        <v>283</v>
      </c>
      <c r="E102" s="22">
        <v>301</v>
      </c>
      <c r="F102" s="23" t="s">
        <v>267</v>
      </c>
      <c r="G102" s="24">
        <f t="shared" si="110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1"/>
        <v>0.87590276923076926</v>
      </c>
      <c r="AB102" s="24">
        <f t="shared" si="112"/>
        <v>22773472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+'[2]DICIEMBRE 2016'!$Z$1247</f>
        <v>22773472</v>
      </c>
      <c r="AS102" s="24"/>
      <c r="AT102" s="24"/>
      <c r="AU102" s="24"/>
      <c r="AV102" s="24"/>
      <c r="AW102" s="25">
        <f t="shared" si="113"/>
        <v>0.12409723076923074</v>
      </c>
      <c r="AX102" s="24">
        <f t="shared" si="114"/>
        <v>3226528</v>
      </c>
      <c r="AY102" s="24">
        <f t="shared" si="115"/>
        <v>0</v>
      </c>
      <c r="AZ102" s="24">
        <f t="shared" si="115"/>
        <v>0</v>
      </c>
      <c r="BA102" s="24">
        <f t="shared" si="115"/>
        <v>0</v>
      </c>
      <c r="BB102" s="24">
        <f t="shared" si="115"/>
        <v>0</v>
      </c>
      <c r="BC102" s="24">
        <f t="shared" si="115"/>
        <v>0</v>
      </c>
      <c r="BD102" s="24">
        <f t="shared" si="115"/>
        <v>0</v>
      </c>
      <c r="BE102" s="24">
        <f t="shared" si="115"/>
        <v>0</v>
      </c>
      <c r="BF102" s="24">
        <f t="shared" si="115"/>
        <v>0</v>
      </c>
      <c r="BG102" s="24">
        <f t="shared" si="115"/>
        <v>0</v>
      </c>
      <c r="BH102" s="24">
        <f t="shared" si="115"/>
        <v>0</v>
      </c>
      <c r="BI102" s="24">
        <f t="shared" si="115"/>
        <v>0</v>
      </c>
      <c r="BJ102" s="24">
        <f t="shared" si="115"/>
        <v>0</v>
      </c>
      <c r="BK102" s="24">
        <f t="shared" si="115"/>
        <v>0</v>
      </c>
      <c r="BL102" s="24">
        <f t="shared" si="115"/>
        <v>0</v>
      </c>
      <c r="BM102" s="24">
        <f t="shared" si="115"/>
        <v>3226528</v>
      </c>
      <c r="BN102" s="24"/>
      <c r="BO102" s="24">
        <f>X102-AT102</f>
        <v>0</v>
      </c>
      <c r="BP102" s="24">
        <f t="shared" si="117"/>
        <v>0</v>
      </c>
      <c r="BQ102" s="24">
        <f>Z102-AV102</f>
        <v>0</v>
      </c>
      <c r="BR102" s="25">
        <f t="shared" si="119"/>
        <v>0.87590276923076926</v>
      </c>
      <c r="BS102" s="24">
        <f t="shared" si="120"/>
        <v>22773472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+'[2]DICIEMBRE 2016'!$H$1245</f>
        <v>22773472</v>
      </c>
      <c r="CJ102" s="24"/>
      <c r="CK102" s="24"/>
      <c r="CL102" s="24"/>
      <c r="CM102" s="24"/>
      <c r="CN102" s="25">
        <f t="shared" si="121"/>
        <v>0.12409723076923074</v>
      </c>
      <c r="CO102" s="24">
        <f t="shared" si="122"/>
        <v>3226528</v>
      </c>
      <c r="CP102" s="24">
        <f t="shared" si="123"/>
        <v>0</v>
      </c>
      <c r="CQ102" s="24">
        <f t="shared" si="123"/>
        <v>0</v>
      </c>
      <c r="CR102" s="24">
        <f t="shared" si="123"/>
        <v>0</v>
      </c>
      <c r="CS102" s="24">
        <f t="shared" si="123"/>
        <v>0</v>
      </c>
      <c r="CT102" s="24">
        <f t="shared" si="123"/>
        <v>0</v>
      </c>
      <c r="CU102" s="24">
        <f t="shared" si="123"/>
        <v>0</v>
      </c>
      <c r="CV102" s="24">
        <f t="shared" si="123"/>
        <v>0</v>
      </c>
      <c r="CW102" s="24">
        <f t="shared" si="123"/>
        <v>0</v>
      </c>
      <c r="CX102" s="24">
        <f t="shared" si="123"/>
        <v>0</v>
      </c>
      <c r="CY102" s="24">
        <f t="shared" si="125"/>
        <v>0</v>
      </c>
      <c r="CZ102" s="24">
        <f t="shared" si="125"/>
        <v>0</v>
      </c>
      <c r="DA102" s="24">
        <f t="shared" si="125"/>
        <v>0</v>
      </c>
      <c r="DB102" s="24">
        <f>T102-CG102</f>
        <v>0</v>
      </c>
      <c r="DC102" s="24">
        <f>U102-CH102</f>
        <v>0</v>
      </c>
      <c r="DD102" s="24">
        <f>V102-CI102</f>
        <v>3226528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</row>
    <row r="103" spans="1:112" ht="29.25" customHeight="1" x14ac:dyDescent="0.25">
      <c r="A103" s="256"/>
      <c r="B103" s="86" t="s">
        <v>284</v>
      </c>
      <c r="C103" s="87" t="s">
        <v>285</v>
      </c>
      <c r="D103" s="21" t="s">
        <v>286</v>
      </c>
      <c r="E103" s="64">
        <v>301</v>
      </c>
      <c r="F103" s="23" t="s">
        <v>287</v>
      </c>
      <c r="G103" s="24">
        <f t="shared" si="110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1"/>
        <v>0.98234291083882441</v>
      </c>
      <c r="AB103" s="24">
        <f t="shared" si="112"/>
        <v>482387240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+'[2]DICIEMBRE 2016'!$Y$1259</f>
        <v>135747651</v>
      </c>
      <c r="AR103" s="24">
        <f>+'[4]DICIEMBRE 2016'!$Z$1264</f>
        <v>339690785</v>
      </c>
      <c r="AS103" s="24"/>
      <c r="AT103" s="24"/>
      <c r="AU103" s="24"/>
      <c r="AV103" s="24">
        <f>+'[5]NOVIEMBRE 2016'!$AG$1189</f>
        <v>6948804</v>
      </c>
      <c r="AW103" s="25">
        <f t="shared" si="113"/>
        <v>1.7657089161175588E-2</v>
      </c>
      <c r="AX103" s="24">
        <f t="shared" si="114"/>
        <v>8670653</v>
      </c>
      <c r="AY103" s="24">
        <f t="shared" si="115"/>
        <v>0</v>
      </c>
      <c r="AZ103" s="24">
        <f t="shared" si="115"/>
        <v>0</v>
      </c>
      <c r="BA103" s="24">
        <f t="shared" si="115"/>
        <v>0</v>
      </c>
      <c r="BB103" s="24">
        <f t="shared" ref="BB103:BM109" si="128">+K103-AG103</f>
        <v>0</v>
      </c>
      <c r="BC103" s="24">
        <f t="shared" si="128"/>
        <v>0</v>
      </c>
      <c r="BD103" s="24">
        <f t="shared" si="128"/>
        <v>0</v>
      </c>
      <c r="BE103" s="24">
        <f t="shared" si="128"/>
        <v>0</v>
      </c>
      <c r="BF103" s="24">
        <f t="shared" si="128"/>
        <v>0</v>
      </c>
      <c r="BG103" s="24">
        <f t="shared" si="128"/>
        <v>0</v>
      </c>
      <c r="BH103" s="24">
        <f t="shared" si="128"/>
        <v>0</v>
      </c>
      <c r="BI103" s="24">
        <f t="shared" si="128"/>
        <v>0</v>
      </c>
      <c r="BJ103" s="24">
        <f t="shared" si="128"/>
        <v>0</v>
      </c>
      <c r="BK103" s="24">
        <f t="shared" si="128"/>
        <v>0</v>
      </c>
      <c r="BL103" s="24">
        <f t="shared" si="128"/>
        <v>6310242</v>
      </c>
      <c r="BM103" s="24">
        <f t="shared" si="128"/>
        <v>2309215</v>
      </c>
      <c r="BN103" s="24"/>
      <c r="BO103" s="24"/>
      <c r="BP103" s="24">
        <f t="shared" si="117"/>
        <v>0</v>
      </c>
      <c r="BQ103" s="24">
        <f t="shared" ref="BQ103:BQ109" si="129">+Z103-AV103</f>
        <v>51196</v>
      </c>
      <c r="BR103" s="25">
        <f t="shared" si="119"/>
        <v>0.98234291083882441</v>
      </c>
      <c r="BS103" s="24">
        <f t="shared" si="120"/>
        <v>482387240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+'[2]DICIEMBRE 2016'!$Y$1259</f>
        <v>135747651</v>
      </c>
      <c r="CI103" s="24">
        <f>+'[4]DICIEMBRE 2016'!$Z$1264</f>
        <v>339690785</v>
      </c>
      <c r="CJ103" s="24"/>
      <c r="CK103" s="24"/>
      <c r="CL103" s="24"/>
      <c r="CM103" s="24">
        <f>+'[5]NOVIEMBRE 2016'!$H$1262+'[5]NOVIEMBRE 2016'!$H$1263+'[5]NOVIEMBRE 2016'!$H$1264+'[5]NOVIEMBRE 2016'!$H$1267+'[5]NOVIEMBRE 2016'!$H$1268+'[5]NOVIEMBRE 2016'!$H$1269+'[5]NOVIEMBRE 2016'!$H$1307</f>
        <v>6948804</v>
      </c>
      <c r="CN103" s="25">
        <f t="shared" si="121"/>
        <v>1.7657089161175588E-2</v>
      </c>
      <c r="CO103" s="24">
        <f t="shared" si="122"/>
        <v>8670653</v>
      </c>
      <c r="CP103" s="24">
        <f t="shared" si="123"/>
        <v>0</v>
      </c>
      <c r="CQ103" s="24">
        <f t="shared" si="123"/>
        <v>0</v>
      </c>
      <c r="CR103" s="24">
        <f t="shared" si="123"/>
        <v>0</v>
      </c>
      <c r="CS103" s="24">
        <f t="shared" si="123"/>
        <v>0</v>
      </c>
      <c r="CT103" s="24">
        <f t="shared" si="123"/>
        <v>0</v>
      </c>
      <c r="CU103" s="24">
        <f t="shared" si="123"/>
        <v>0</v>
      </c>
      <c r="CV103" s="24">
        <f t="shared" ref="CV103:CW109" si="130">+N103-CA103</f>
        <v>0</v>
      </c>
      <c r="CW103" s="24">
        <f t="shared" si="130"/>
        <v>0</v>
      </c>
      <c r="CX103" s="24">
        <f t="shared" si="123"/>
        <v>0</v>
      </c>
      <c r="CY103" s="24">
        <f t="shared" si="125"/>
        <v>0</v>
      </c>
      <c r="CZ103" s="24">
        <f t="shared" si="125"/>
        <v>0</v>
      </c>
      <c r="DA103" s="24">
        <f t="shared" si="125"/>
        <v>0</v>
      </c>
      <c r="DB103" s="24">
        <f t="shared" ref="DB103:DD109" si="131">+T103-CG103</f>
        <v>0</v>
      </c>
      <c r="DC103" s="24">
        <f t="shared" si="131"/>
        <v>6310242</v>
      </c>
      <c r="DD103" s="24">
        <f t="shared" si="131"/>
        <v>2309215</v>
      </c>
      <c r="DE103" s="24"/>
      <c r="DF103" s="24">
        <f t="shared" ref="DF103:DH109" si="132">+X103-CK103</f>
        <v>0</v>
      </c>
      <c r="DG103" s="24">
        <f t="shared" si="132"/>
        <v>0</v>
      </c>
      <c r="DH103" s="24">
        <f t="shared" si="132"/>
        <v>51196</v>
      </c>
    </row>
    <row r="104" spans="1:112" ht="54.75" customHeight="1" x14ac:dyDescent="0.25">
      <c r="A104" s="256"/>
      <c r="B104" s="88" t="s">
        <v>288</v>
      </c>
      <c r="C104" s="69" t="s">
        <v>289</v>
      </c>
      <c r="D104" s="21" t="s">
        <v>290</v>
      </c>
      <c r="E104" s="22">
        <v>301</v>
      </c>
      <c r="F104" s="23" t="s">
        <v>291</v>
      </c>
      <c r="G104" s="24">
        <f t="shared" si="110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1"/>
        <v>0.96540715769852947</v>
      </c>
      <c r="AB104" s="24">
        <f t="shared" si="112"/>
        <v>317740099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+'[4]DICIEMBRE 2016'!$Z$1382</f>
        <v>304709714</v>
      </c>
      <c r="AS104" s="24"/>
      <c r="AT104" s="24"/>
      <c r="AU104" s="24"/>
      <c r="AV104" s="24">
        <f>+'[2]DICIEMBRE 2016'!$AG$1393</f>
        <v>13030385</v>
      </c>
      <c r="AW104" s="25">
        <f t="shared" si="113"/>
        <v>3.4592842301470528E-2</v>
      </c>
      <c r="AX104" s="24">
        <f t="shared" si="114"/>
        <v>11385386</v>
      </c>
      <c r="AY104" s="24">
        <f t="shared" si="115"/>
        <v>0</v>
      </c>
      <c r="AZ104" s="24">
        <f t="shared" si="115"/>
        <v>0</v>
      </c>
      <c r="BA104" s="24">
        <f t="shared" si="115"/>
        <v>0</v>
      </c>
      <c r="BB104" s="24">
        <f t="shared" si="128"/>
        <v>0</v>
      </c>
      <c r="BC104" s="24">
        <f t="shared" si="128"/>
        <v>0</v>
      </c>
      <c r="BD104" s="24">
        <f t="shared" si="128"/>
        <v>0</v>
      </c>
      <c r="BE104" s="24">
        <f t="shared" si="128"/>
        <v>0</v>
      </c>
      <c r="BF104" s="24">
        <f t="shared" si="128"/>
        <v>0</v>
      </c>
      <c r="BG104" s="24">
        <f t="shared" si="128"/>
        <v>0</v>
      </c>
      <c r="BH104" s="24">
        <f t="shared" si="128"/>
        <v>0</v>
      </c>
      <c r="BI104" s="24">
        <f t="shared" si="128"/>
        <v>0</v>
      </c>
      <c r="BJ104" s="24">
        <f t="shared" si="128"/>
        <v>0</v>
      </c>
      <c r="BK104" s="24">
        <f t="shared" si="128"/>
        <v>0</v>
      </c>
      <c r="BL104" s="24">
        <f t="shared" si="128"/>
        <v>0</v>
      </c>
      <c r="BM104" s="24">
        <f t="shared" si="128"/>
        <v>11290286</v>
      </c>
      <c r="BN104" s="24"/>
      <c r="BO104" s="24"/>
      <c r="BP104" s="24">
        <f t="shared" si="117"/>
        <v>0</v>
      </c>
      <c r="BQ104" s="24">
        <f t="shared" si="129"/>
        <v>95100</v>
      </c>
      <c r="BR104" s="25">
        <f t="shared" si="119"/>
        <v>0.96540715769852947</v>
      </c>
      <c r="BS104" s="24">
        <f t="shared" si="120"/>
        <v>317740099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+'[4]DICIEMBRE 2016'!$Z$1382</f>
        <v>304709714</v>
      </c>
      <c r="CJ104" s="24"/>
      <c r="CK104" s="24"/>
      <c r="CL104" s="24"/>
      <c r="CM104" s="24">
        <f>+'[2]DICIEMBRE 2016'!$AG$1393</f>
        <v>13030385</v>
      </c>
      <c r="CN104" s="25">
        <f t="shared" si="121"/>
        <v>3.4592842301470528E-2</v>
      </c>
      <c r="CO104" s="24">
        <f t="shared" si="122"/>
        <v>11385386</v>
      </c>
      <c r="CP104" s="24">
        <f t="shared" si="123"/>
        <v>0</v>
      </c>
      <c r="CQ104" s="24">
        <f t="shared" si="123"/>
        <v>0</v>
      </c>
      <c r="CR104" s="24">
        <f t="shared" si="123"/>
        <v>0</v>
      </c>
      <c r="CS104" s="24">
        <f t="shared" si="123"/>
        <v>0</v>
      </c>
      <c r="CT104" s="24">
        <f t="shared" si="123"/>
        <v>0</v>
      </c>
      <c r="CU104" s="24">
        <f t="shared" si="123"/>
        <v>0</v>
      </c>
      <c r="CV104" s="24">
        <f t="shared" si="130"/>
        <v>0</v>
      </c>
      <c r="CW104" s="24">
        <f t="shared" si="130"/>
        <v>0</v>
      </c>
      <c r="CX104" s="24">
        <f t="shared" si="123"/>
        <v>0</v>
      </c>
      <c r="CY104" s="24">
        <f t="shared" si="125"/>
        <v>0</v>
      </c>
      <c r="CZ104" s="24">
        <f t="shared" si="125"/>
        <v>0</v>
      </c>
      <c r="DA104" s="24">
        <f t="shared" si="125"/>
        <v>0</v>
      </c>
      <c r="DB104" s="24">
        <f t="shared" si="131"/>
        <v>0</v>
      </c>
      <c r="DC104" s="24">
        <f t="shared" si="131"/>
        <v>0</v>
      </c>
      <c r="DD104" s="24">
        <f t="shared" si="131"/>
        <v>11290286</v>
      </c>
      <c r="DE104" s="24"/>
      <c r="DF104" s="24">
        <f t="shared" si="132"/>
        <v>0</v>
      </c>
      <c r="DG104" s="24">
        <f t="shared" si="132"/>
        <v>0</v>
      </c>
      <c r="DH104" s="24">
        <f t="shared" si="132"/>
        <v>95100</v>
      </c>
    </row>
    <row r="105" spans="1:112" ht="42" customHeight="1" x14ac:dyDescent="0.25">
      <c r="A105" s="256"/>
      <c r="B105" s="88" t="s">
        <v>292</v>
      </c>
      <c r="C105" s="69" t="s">
        <v>293</v>
      </c>
      <c r="D105" s="21" t="s">
        <v>294</v>
      </c>
      <c r="E105" s="22">
        <v>301</v>
      </c>
      <c r="F105" s="23" t="s">
        <v>295</v>
      </c>
      <c r="G105" s="24">
        <f t="shared" si="110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1"/>
        <v>0.85418043570302449</v>
      </c>
      <c r="AB105" s="24">
        <f t="shared" si="112"/>
        <v>44549837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+'[2]DICIEMBRE 2016'!$Z$1488</f>
        <v>30946804</v>
      </c>
      <c r="AS105" s="24"/>
      <c r="AT105" s="24"/>
      <c r="AU105" s="24"/>
      <c r="AV105" s="24">
        <f>+'[2]DICIEMBRE 2016'!$AG$1488</f>
        <v>13603033</v>
      </c>
      <c r="AW105" s="25">
        <f t="shared" si="113"/>
        <v>0.14581956429697551</v>
      </c>
      <c r="AX105" s="24">
        <f t="shared" si="114"/>
        <v>7605229</v>
      </c>
      <c r="AY105" s="24">
        <f t="shared" si="115"/>
        <v>0</v>
      </c>
      <c r="AZ105" s="24">
        <f t="shared" si="115"/>
        <v>0</v>
      </c>
      <c r="BA105" s="24">
        <f t="shared" si="115"/>
        <v>0</v>
      </c>
      <c r="BB105" s="24">
        <f t="shared" si="128"/>
        <v>0</v>
      </c>
      <c r="BC105" s="24">
        <f t="shared" si="128"/>
        <v>0</v>
      </c>
      <c r="BD105" s="24">
        <f t="shared" si="128"/>
        <v>0</v>
      </c>
      <c r="BE105" s="24">
        <f t="shared" si="128"/>
        <v>0</v>
      </c>
      <c r="BF105" s="24">
        <f t="shared" si="128"/>
        <v>0</v>
      </c>
      <c r="BG105" s="24">
        <f t="shared" si="128"/>
        <v>0</v>
      </c>
      <c r="BH105" s="24">
        <f t="shared" si="128"/>
        <v>0</v>
      </c>
      <c r="BI105" s="24">
        <f t="shared" si="128"/>
        <v>0</v>
      </c>
      <c r="BJ105" s="24">
        <f t="shared" si="128"/>
        <v>0</v>
      </c>
      <c r="BK105" s="24">
        <f t="shared" si="128"/>
        <v>0</v>
      </c>
      <c r="BL105" s="24">
        <f t="shared" si="128"/>
        <v>0</v>
      </c>
      <c r="BM105" s="24">
        <f t="shared" si="128"/>
        <v>5453196</v>
      </c>
      <c r="BN105" s="24"/>
      <c r="BO105" s="24"/>
      <c r="BP105" s="24">
        <f t="shared" si="117"/>
        <v>0</v>
      </c>
      <c r="BQ105" s="24">
        <f t="shared" si="129"/>
        <v>2152033</v>
      </c>
      <c r="BR105" s="25">
        <f t="shared" si="119"/>
        <v>0.85418043570302449</v>
      </c>
      <c r="BS105" s="24">
        <f t="shared" si="120"/>
        <v>44549837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+'[2]DICIEMBRE 2016'!$Z$1488</f>
        <v>30946804</v>
      </c>
      <c r="CJ105" s="24"/>
      <c r="CK105" s="24"/>
      <c r="CL105" s="24"/>
      <c r="CM105" s="24">
        <f>+'[2]DICIEMBRE 2016'!$AG$1488</f>
        <v>13603033</v>
      </c>
      <c r="CN105" s="25">
        <f t="shared" si="121"/>
        <v>0.14581956429697551</v>
      </c>
      <c r="CO105" s="24">
        <f t="shared" si="122"/>
        <v>7605229</v>
      </c>
      <c r="CP105" s="24">
        <f t="shared" si="123"/>
        <v>0</v>
      </c>
      <c r="CQ105" s="24">
        <f t="shared" si="123"/>
        <v>0</v>
      </c>
      <c r="CR105" s="24">
        <f t="shared" si="123"/>
        <v>0</v>
      </c>
      <c r="CS105" s="24">
        <f t="shared" si="123"/>
        <v>0</v>
      </c>
      <c r="CT105" s="24">
        <f t="shared" si="123"/>
        <v>0</v>
      </c>
      <c r="CU105" s="24">
        <f t="shared" si="123"/>
        <v>0</v>
      </c>
      <c r="CV105" s="24">
        <f t="shared" si="130"/>
        <v>0</v>
      </c>
      <c r="CW105" s="24">
        <f t="shared" si="130"/>
        <v>0</v>
      </c>
      <c r="CX105" s="24">
        <f t="shared" si="123"/>
        <v>0</v>
      </c>
      <c r="CY105" s="24">
        <f t="shared" si="125"/>
        <v>0</v>
      </c>
      <c r="CZ105" s="24">
        <f t="shared" si="125"/>
        <v>0</v>
      </c>
      <c r="DA105" s="24">
        <f t="shared" si="125"/>
        <v>0</v>
      </c>
      <c r="DB105" s="24">
        <f t="shared" si="131"/>
        <v>0</v>
      </c>
      <c r="DC105" s="24">
        <f t="shared" si="131"/>
        <v>0</v>
      </c>
      <c r="DD105" s="24">
        <f t="shared" si="131"/>
        <v>5453196</v>
      </c>
      <c r="DE105" s="24"/>
      <c r="DF105" s="24">
        <f t="shared" si="132"/>
        <v>0</v>
      </c>
      <c r="DG105" s="24">
        <f t="shared" si="132"/>
        <v>0</v>
      </c>
      <c r="DH105" s="24">
        <f t="shared" si="132"/>
        <v>2152033</v>
      </c>
    </row>
    <row r="106" spans="1:112" ht="33" customHeight="1" x14ac:dyDescent="0.25">
      <c r="A106" s="256"/>
      <c r="B106" s="239" t="s">
        <v>296</v>
      </c>
      <c r="C106" s="69" t="s">
        <v>297</v>
      </c>
      <c r="D106" s="21" t="s">
        <v>298</v>
      </c>
      <c r="E106" s="22">
        <v>301</v>
      </c>
      <c r="F106" s="23" t="s">
        <v>267</v>
      </c>
      <c r="G106" s="24">
        <f t="shared" si="110"/>
        <v>1313393743</v>
      </c>
      <c r="H106" s="24">
        <f>200000000-1591857</f>
        <v>198408143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102551657+22000000+23000000-2014400</f>
        <v>145537257</v>
      </c>
      <c r="W106" s="24"/>
      <c r="X106" s="24"/>
      <c r="Y106" s="24"/>
      <c r="Z106" s="24"/>
      <c r="AA106" s="25">
        <f t="shared" si="111"/>
        <v>0.91552995086866351</v>
      </c>
      <c r="AB106" s="24">
        <f t="shared" si="112"/>
        <v>1202451309</v>
      </c>
      <c r="AC106" s="24"/>
      <c r="AD106" s="24">
        <f>+'[4]DICIEMBRE 2016'!$K$1502</f>
        <v>191559085</v>
      </c>
      <c r="AE106" s="24">
        <f>+'[4]DICIEMBRE 2016'!$M$1502</f>
        <v>241589585</v>
      </c>
      <c r="AF106" s="24"/>
      <c r="AG106" s="24">
        <f>+'[4]DICIEMBRE 2016'!$O$1502</f>
        <v>631775394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+'[4]DICIEMBRE 2016'!$Z$1502</f>
        <v>137527245</v>
      </c>
      <c r="AS106" s="24"/>
      <c r="AT106" s="24"/>
      <c r="AU106" s="24"/>
      <c r="AV106" s="24"/>
      <c r="AW106" s="25">
        <f t="shared" si="113"/>
        <v>8.4470049131336489E-2</v>
      </c>
      <c r="AX106" s="24">
        <f t="shared" si="114"/>
        <v>110942434</v>
      </c>
      <c r="AY106" s="24">
        <f t="shared" si="115"/>
        <v>6849058</v>
      </c>
      <c r="AZ106" s="24">
        <f t="shared" si="115"/>
        <v>26578511</v>
      </c>
      <c r="BA106" s="24">
        <f t="shared" si="115"/>
        <v>0</v>
      </c>
      <c r="BB106" s="24">
        <f t="shared" si="128"/>
        <v>69504853</v>
      </c>
      <c r="BC106" s="24">
        <f t="shared" si="128"/>
        <v>0</v>
      </c>
      <c r="BD106" s="24">
        <f t="shared" si="128"/>
        <v>0</v>
      </c>
      <c r="BE106" s="24">
        <f t="shared" si="128"/>
        <v>0</v>
      </c>
      <c r="BF106" s="24">
        <f t="shared" si="128"/>
        <v>0</v>
      </c>
      <c r="BG106" s="24">
        <f t="shared" si="128"/>
        <v>0</v>
      </c>
      <c r="BH106" s="24">
        <f t="shared" si="128"/>
        <v>0</v>
      </c>
      <c r="BI106" s="24">
        <f t="shared" si="128"/>
        <v>0</v>
      </c>
      <c r="BJ106" s="24">
        <f t="shared" si="128"/>
        <v>0</v>
      </c>
      <c r="BK106" s="24">
        <f t="shared" si="128"/>
        <v>0</v>
      </c>
      <c r="BL106" s="24">
        <f t="shared" si="128"/>
        <v>0</v>
      </c>
      <c r="BM106" s="24">
        <f t="shared" si="128"/>
        <v>8010012</v>
      </c>
      <c r="BN106" s="24"/>
      <c r="BO106" s="24"/>
      <c r="BP106" s="24">
        <f t="shared" si="117"/>
        <v>0</v>
      </c>
      <c r="BQ106" s="24">
        <f t="shared" si="129"/>
        <v>0</v>
      </c>
      <c r="BR106" s="25">
        <f t="shared" si="119"/>
        <v>0.91552995086866351</v>
      </c>
      <c r="BS106" s="24">
        <f t="shared" si="120"/>
        <v>1202451309</v>
      </c>
      <c r="BT106" s="24"/>
      <c r="BU106" s="24">
        <f>+'[4]DICIEMBRE 2016'!$K$1502</f>
        <v>191559085</v>
      </c>
      <c r="BV106" s="24">
        <f>+'[4]DICIEMBRE 2016'!$M$1502</f>
        <v>241589585</v>
      </c>
      <c r="BW106" s="24"/>
      <c r="BX106" s="24">
        <f>+'[4]DICIEMBRE 2016'!$O$1502</f>
        <v>631775394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+'[4]DICIEMBRE 2016'!$Z$1502</f>
        <v>137527245</v>
      </c>
      <c r="CJ106" s="24"/>
      <c r="CK106" s="24"/>
      <c r="CL106" s="24"/>
      <c r="CM106" s="24"/>
      <c r="CN106" s="25">
        <f t="shared" si="121"/>
        <v>8.4470049131336489E-2</v>
      </c>
      <c r="CO106" s="24">
        <f t="shared" si="122"/>
        <v>110942434</v>
      </c>
      <c r="CP106" s="24">
        <f t="shared" si="123"/>
        <v>6849058</v>
      </c>
      <c r="CQ106" s="24">
        <f t="shared" si="123"/>
        <v>26578511</v>
      </c>
      <c r="CR106" s="24">
        <f t="shared" si="123"/>
        <v>0</v>
      </c>
      <c r="CS106" s="24">
        <f t="shared" si="123"/>
        <v>69504853</v>
      </c>
      <c r="CT106" s="24">
        <f t="shared" si="123"/>
        <v>0</v>
      </c>
      <c r="CU106" s="24">
        <f t="shared" si="123"/>
        <v>0</v>
      </c>
      <c r="CV106" s="24">
        <f t="shared" si="130"/>
        <v>0</v>
      </c>
      <c r="CW106" s="24">
        <f t="shared" si="130"/>
        <v>0</v>
      </c>
      <c r="CX106" s="24">
        <f t="shared" si="123"/>
        <v>0</v>
      </c>
      <c r="CY106" s="24">
        <f t="shared" si="125"/>
        <v>0</v>
      </c>
      <c r="CZ106" s="24">
        <f t="shared" si="125"/>
        <v>0</v>
      </c>
      <c r="DA106" s="24">
        <f t="shared" si="125"/>
        <v>0</v>
      </c>
      <c r="DB106" s="24">
        <f t="shared" si="131"/>
        <v>0</v>
      </c>
      <c r="DC106" s="24">
        <f t="shared" si="131"/>
        <v>0</v>
      </c>
      <c r="DD106" s="24">
        <f t="shared" si="131"/>
        <v>8010012</v>
      </c>
      <c r="DE106" s="24"/>
      <c r="DF106" s="24">
        <f t="shared" si="132"/>
        <v>0</v>
      </c>
      <c r="DG106" s="24">
        <f t="shared" si="132"/>
        <v>0</v>
      </c>
      <c r="DH106" s="24">
        <f t="shared" si="132"/>
        <v>0</v>
      </c>
    </row>
    <row r="107" spans="1:112" ht="36" customHeight="1" x14ac:dyDescent="0.25">
      <c r="A107" s="256"/>
      <c r="B107" s="240"/>
      <c r="C107" s="69" t="s">
        <v>299</v>
      </c>
      <c r="D107" s="21" t="s">
        <v>300</v>
      </c>
      <c r="E107" s="22">
        <v>301</v>
      </c>
      <c r="F107" s="23" t="s">
        <v>267</v>
      </c>
      <c r="G107" s="24">
        <f t="shared" si="110"/>
        <v>23760324</v>
      </c>
      <c r="H107" s="24">
        <v>1591857</v>
      </c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f>20000000+2014400+154067</f>
        <v>22168467</v>
      </c>
      <c r="W107" s="24"/>
      <c r="X107" s="24"/>
      <c r="Y107" s="24"/>
      <c r="Z107" s="24"/>
      <c r="AA107" s="25">
        <f t="shared" si="111"/>
        <v>1</v>
      </c>
      <c r="AB107" s="24">
        <f t="shared" si="112"/>
        <v>23760324</v>
      </c>
      <c r="AC107" s="24"/>
      <c r="AD107" s="24">
        <f>+'[2]DICIEMBRE 2016'!$K$1535</f>
        <v>1591857</v>
      </c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+'[2]DICIEMBRE 2016'!$Z$1535</f>
        <v>22168467</v>
      </c>
      <c r="AS107" s="24"/>
      <c r="AT107" s="24"/>
      <c r="AU107" s="24"/>
      <c r="AV107" s="24"/>
      <c r="AW107" s="25">
        <f t="shared" si="113"/>
        <v>0</v>
      </c>
      <c r="AX107" s="24">
        <f t="shared" si="114"/>
        <v>0</v>
      </c>
      <c r="AY107" s="24">
        <f t="shared" si="115"/>
        <v>0</v>
      </c>
      <c r="AZ107" s="24">
        <f t="shared" si="115"/>
        <v>0</v>
      </c>
      <c r="BA107" s="24">
        <f t="shared" si="115"/>
        <v>0</v>
      </c>
      <c r="BB107" s="24">
        <f t="shared" si="128"/>
        <v>0</v>
      </c>
      <c r="BC107" s="24">
        <f t="shared" si="128"/>
        <v>0</v>
      </c>
      <c r="BD107" s="24">
        <f t="shared" si="128"/>
        <v>0</v>
      </c>
      <c r="BE107" s="24">
        <f t="shared" si="128"/>
        <v>0</v>
      </c>
      <c r="BF107" s="24">
        <f t="shared" si="128"/>
        <v>0</v>
      </c>
      <c r="BG107" s="24">
        <f t="shared" si="128"/>
        <v>0</v>
      </c>
      <c r="BH107" s="24">
        <f t="shared" si="128"/>
        <v>0</v>
      </c>
      <c r="BI107" s="24">
        <f t="shared" si="128"/>
        <v>0</v>
      </c>
      <c r="BJ107" s="24">
        <f t="shared" si="128"/>
        <v>0</v>
      </c>
      <c r="BK107" s="24">
        <f t="shared" si="128"/>
        <v>0</v>
      </c>
      <c r="BL107" s="24">
        <f t="shared" si="128"/>
        <v>0</v>
      </c>
      <c r="BM107" s="24">
        <f t="shared" si="128"/>
        <v>0</v>
      </c>
      <c r="BN107" s="24"/>
      <c r="BO107" s="24"/>
      <c r="BP107" s="24">
        <f t="shared" si="117"/>
        <v>0</v>
      </c>
      <c r="BQ107" s="24">
        <f t="shared" si="129"/>
        <v>0</v>
      </c>
      <c r="BR107" s="25">
        <f t="shared" si="119"/>
        <v>1</v>
      </c>
      <c r="BS107" s="24">
        <f t="shared" si="120"/>
        <v>23760324</v>
      </c>
      <c r="BT107" s="24"/>
      <c r="BU107" s="24">
        <f>+'[2]DICIEMBRE 2016'!$K$1535</f>
        <v>1591857</v>
      </c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+'[2]DICIEMBRE 2016'!$H$1536+'[2]DICIEMBRE 2016'!$H$1543</f>
        <v>22168467</v>
      </c>
      <c r="CJ107" s="24"/>
      <c r="CK107" s="24"/>
      <c r="CL107" s="24"/>
      <c r="CM107" s="24"/>
      <c r="CN107" s="25">
        <f t="shared" si="121"/>
        <v>0</v>
      </c>
      <c r="CO107" s="24">
        <f t="shared" si="122"/>
        <v>0</v>
      </c>
      <c r="CP107" s="24">
        <f t="shared" si="123"/>
        <v>0</v>
      </c>
      <c r="CQ107" s="24">
        <f t="shared" si="123"/>
        <v>0</v>
      </c>
      <c r="CR107" s="24">
        <f t="shared" si="123"/>
        <v>0</v>
      </c>
      <c r="CS107" s="24">
        <f t="shared" si="123"/>
        <v>0</v>
      </c>
      <c r="CT107" s="24">
        <f t="shared" si="123"/>
        <v>0</v>
      </c>
      <c r="CU107" s="24">
        <f t="shared" si="123"/>
        <v>0</v>
      </c>
      <c r="CV107" s="24">
        <f t="shared" si="130"/>
        <v>0</v>
      </c>
      <c r="CW107" s="24">
        <f t="shared" si="130"/>
        <v>0</v>
      </c>
      <c r="CX107" s="24">
        <f t="shared" si="123"/>
        <v>0</v>
      </c>
      <c r="CY107" s="24">
        <f t="shared" si="125"/>
        <v>0</v>
      </c>
      <c r="CZ107" s="24">
        <f t="shared" si="125"/>
        <v>0</v>
      </c>
      <c r="DA107" s="24">
        <f t="shared" si="125"/>
        <v>0</v>
      </c>
      <c r="DB107" s="24">
        <f t="shared" si="131"/>
        <v>0</v>
      </c>
      <c r="DC107" s="24">
        <f t="shared" si="131"/>
        <v>0</v>
      </c>
      <c r="DD107" s="24">
        <f t="shared" si="131"/>
        <v>0</v>
      </c>
      <c r="DE107" s="24"/>
      <c r="DF107" s="24">
        <f t="shared" si="132"/>
        <v>0</v>
      </c>
      <c r="DG107" s="24">
        <f t="shared" si="132"/>
        <v>0</v>
      </c>
      <c r="DH107" s="24">
        <f t="shared" si="132"/>
        <v>0</v>
      </c>
    </row>
    <row r="108" spans="1:112" ht="24.75" customHeight="1" x14ac:dyDescent="0.25">
      <c r="A108" s="256"/>
      <c r="B108" s="241"/>
      <c r="C108" s="69" t="s">
        <v>301</v>
      </c>
      <c r="D108" s="21" t="s">
        <v>302</v>
      </c>
      <c r="E108" s="89">
        <v>301</v>
      </c>
      <c r="F108" s="23" t="s">
        <v>267</v>
      </c>
      <c r="G108" s="24">
        <f t="shared" si="110"/>
        <v>99845933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f>100000000-154067</f>
        <v>99845933</v>
      </c>
      <c r="W108" s="24"/>
      <c r="X108" s="24"/>
      <c r="Y108" s="24"/>
      <c r="Z108" s="24"/>
      <c r="AA108" s="25">
        <f t="shared" si="111"/>
        <v>0.98076554605383881</v>
      </c>
      <c r="AB108" s="24">
        <f t="shared" si="112"/>
        <v>97925451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+'[4]DICIEMBRE 2016'!$Z$1538</f>
        <v>97925451</v>
      </c>
      <c r="AS108" s="24"/>
      <c r="AT108" s="24"/>
      <c r="AU108" s="24"/>
      <c r="AV108" s="24"/>
      <c r="AW108" s="25">
        <f t="shared" si="113"/>
        <v>1.923445394616119E-2</v>
      </c>
      <c r="AX108" s="24">
        <f t="shared" si="114"/>
        <v>1920482</v>
      </c>
      <c r="AY108" s="24">
        <f t="shared" si="115"/>
        <v>0</v>
      </c>
      <c r="AZ108" s="24">
        <f t="shared" si="115"/>
        <v>0</v>
      </c>
      <c r="BA108" s="24">
        <f t="shared" si="115"/>
        <v>0</v>
      </c>
      <c r="BB108" s="24">
        <f t="shared" si="128"/>
        <v>0</v>
      </c>
      <c r="BC108" s="24">
        <f t="shared" si="128"/>
        <v>0</v>
      </c>
      <c r="BD108" s="24">
        <f t="shared" si="128"/>
        <v>0</v>
      </c>
      <c r="BE108" s="24">
        <f t="shared" si="128"/>
        <v>0</v>
      </c>
      <c r="BF108" s="24">
        <f t="shared" si="128"/>
        <v>0</v>
      </c>
      <c r="BG108" s="24">
        <f t="shared" si="128"/>
        <v>0</v>
      </c>
      <c r="BH108" s="24">
        <f t="shared" si="128"/>
        <v>0</v>
      </c>
      <c r="BI108" s="24">
        <f t="shared" si="128"/>
        <v>0</v>
      </c>
      <c r="BJ108" s="24">
        <f t="shared" si="128"/>
        <v>0</v>
      </c>
      <c r="BK108" s="24">
        <f t="shared" si="128"/>
        <v>0</v>
      </c>
      <c r="BL108" s="24">
        <f t="shared" si="128"/>
        <v>0</v>
      </c>
      <c r="BM108" s="24">
        <f t="shared" si="128"/>
        <v>1920482</v>
      </c>
      <c r="BN108" s="24"/>
      <c r="BO108" s="24"/>
      <c r="BP108" s="24">
        <f t="shared" si="117"/>
        <v>0</v>
      </c>
      <c r="BQ108" s="24">
        <f t="shared" si="129"/>
        <v>0</v>
      </c>
      <c r="BR108" s="25">
        <f t="shared" si="119"/>
        <v>0.98076554605383881</v>
      </c>
      <c r="BS108" s="24">
        <f t="shared" si="120"/>
        <v>97925451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+'[4]DICIEMBRE 2016'!$Z$1538</f>
        <v>97925451</v>
      </c>
      <c r="CJ108" s="24"/>
      <c r="CK108" s="24"/>
      <c r="CL108" s="24"/>
      <c r="CM108" s="24"/>
      <c r="CN108" s="25">
        <f t="shared" si="121"/>
        <v>1.923445394616119E-2</v>
      </c>
      <c r="CO108" s="24">
        <f t="shared" si="122"/>
        <v>1920482</v>
      </c>
      <c r="CP108" s="24">
        <f t="shared" si="123"/>
        <v>0</v>
      </c>
      <c r="CQ108" s="24">
        <f t="shared" si="123"/>
        <v>0</v>
      </c>
      <c r="CR108" s="24">
        <f t="shared" si="123"/>
        <v>0</v>
      </c>
      <c r="CS108" s="24">
        <f t="shared" si="123"/>
        <v>0</v>
      </c>
      <c r="CT108" s="24">
        <f t="shared" si="123"/>
        <v>0</v>
      </c>
      <c r="CU108" s="24">
        <f t="shared" si="123"/>
        <v>0</v>
      </c>
      <c r="CV108" s="24">
        <f t="shared" si="130"/>
        <v>0</v>
      </c>
      <c r="CW108" s="24">
        <f t="shared" si="130"/>
        <v>0</v>
      </c>
      <c r="CX108" s="24">
        <f t="shared" si="123"/>
        <v>0</v>
      </c>
      <c r="CY108" s="24">
        <f t="shared" si="125"/>
        <v>0</v>
      </c>
      <c r="CZ108" s="24">
        <f t="shared" si="125"/>
        <v>0</v>
      </c>
      <c r="DA108" s="24">
        <f t="shared" si="125"/>
        <v>0</v>
      </c>
      <c r="DB108" s="24">
        <f t="shared" si="131"/>
        <v>0</v>
      </c>
      <c r="DC108" s="24">
        <f t="shared" si="131"/>
        <v>0</v>
      </c>
      <c r="DD108" s="24">
        <f t="shared" si="131"/>
        <v>1920482</v>
      </c>
      <c r="DE108" s="24"/>
      <c r="DF108" s="24">
        <f t="shared" si="132"/>
        <v>0</v>
      </c>
      <c r="DG108" s="24">
        <f t="shared" si="132"/>
        <v>0</v>
      </c>
      <c r="DH108" s="24">
        <f t="shared" si="132"/>
        <v>0</v>
      </c>
    </row>
    <row r="109" spans="1:112" ht="23.25" customHeight="1" x14ac:dyDescent="0.25">
      <c r="A109" s="256"/>
      <c r="B109" s="88" t="s">
        <v>303</v>
      </c>
      <c r="C109" s="69" t="s">
        <v>304</v>
      </c>
      <c r="D109" s="21" t="s">
        <v>305</v>
      </c>
      <c r="E109" s="89">
        <v>301</v>
      </c>
      <c r="F109" s="23" t="s">
        <v>267</v>
      </c>
      <c r="G109" s="24">
        <f t="shared" si="110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1"/>
        <v>0.95293510000000003</v>
      </c>
      <c r="AB109" s="24">
        <f t="shared" si="112"/>
        <v>47646755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+'[1]OCTUBRE 2016'!$Y$1327</f>
        <v>47646755</v>
      </c>
      <c r="AR109" s="24"/>
      <c r="AS109" s="24"/>
      <c r="AT109" s="24"/>
      <c r="AU109" s="24"/>
      <c r="AV109" s="24"/>
      <c r="AW109" s="25">
        <f t="shared" si="113"/>
        <v>4.7064899999999965E-2</v>
      </c>
      <c r="AX109" s="24">
        <f t="shared" si="114"/>
        <v>2353245</v>
      </c>
      <c r="AY109" s="24">
        <f t="shared" si="115"/>
        <v>0</v>
      </c>
      <c r="AZ109" s="24">
        <f t="shared" si="115"/>
        <v>0</v>
      </c>
      <c r="BA109" s="24">
        <f t="shared" si="115"/>
        <v>0</v>
      </c>
      <c r="BB109" s="24">
        <f t="shared" si="128"/>
        <v>0</v>
      </c>
      <c r="BC109" s="24">
        <f t="shared" si="128"/>
        <v>0</v>
      </c>
      <c r="BD109" s="24">
        <f t="shared" si="128"/>
        <v>0</v>
      </c>
      <c r="BE109" s="24">
        <f t="shared" si="128"/>
        <v>0</v>
      </c>
      <c r="BF109" s="24">
        <f t="shared" si="128"/>
        <v>0</v>
      </c>
      <c r="BG109" s="24">
        <f t="shared" si="128"/>
        <v>0</v>
      </c>
      <c r="BH109" s="24">
        <f t="shared" si="128"/>
        <v>0</v>
      </c>
      <c r="BI109" s="24">
        <f t="shared" si="128"/>
        <v>0</v>
      </c>
      <c r="BJ109" s="24">
        <f t="shared" si="128"/>
        <v>0</v>
      </c>
      <c r="BK109" s="24">
        <f t="shared" si="128"/>
        <v>0</v>
      </c>
      <c r="BL109" s="24">
        <f t="shared" si="128"/>
        <v>2353245</v>
      </c>
      <c r="BM109" s="24">
        <f t="shared" si="128"/>
        <v>0</v>
      </c>
      <c r="BN109" s="24"/>
      <c r="BO109" s="24"/>
      <c r="BP109" s="24">
        <f t="shared" si="117"/>
        <v>0</v>
      </c>
      <c r="BQ109" s="24">
        <f t="shared" si="129"/>
        <v>0</v>
      </c>
      <c r="BR109" s="25">
        <f t="shared" si="119"/>
        <v>0.95293510000000003</v>
      </c>
      <c r="BS109" s="24">
        <f t="shared" si="120"/>
        <v>47646755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+'[1]OCTUBRE 2016'!$H$1325</f>
        <v>47646755</v>
      </c>
      <c r="CI109" s="24"/>
      <c r="CJ109" s="24"/>
      <c r="CK109" s="24"/>
      <c r="CL109" s="24"/>
      <c r="CM109" s="24"/>
      <c r="CN109" s="25">
        <f t="shared" si="121"/>
        <v>4.7064899999999965E-2</v>
      </c>
      <c r="CO109" s="24">
        <f t="shared" si="122"/>
        <v>2353245</v>
      </c>
      <c r="CP109" s="24">
        <f t="shared" si="123"/>
        <v>0</v>
      </c>
      <c r="CQ109" s="24">
        <f t="shared" si="123"/>
        <v>0</v>
      </c>
      <c r="CR109" s="24">
        <f t="shared" si="123"/>
        <v>0</v>
      </c>
      <c r="CS109" s="24">
        <f t="shared" si="123"/>
        <v>0</v>
      </c>
      <c r="CT109" s="24">
        <f t="shared" si="123"/>
        <v>0</v>
      </c>
      <c r="CU109" s="24">
        <f t="shared" si="123"/>
        <v>0</v>
      </c>
      <c r="CV109" s="24">
        <f t="shared" si="130"/>
        <v>0</v>
      </c>
      <c r="CW109" s="24">
        <f t="shared" si="130"/>
        <v>0</v>
      </c>
      <c r="CX109" s="24">
        <f t="shared" si="123"/>
        <v>0</v>
      </c>
      <c r="CY109" s="24">
        <f t="shared" si="125"/>
        <v>0</v>
      </c>
      <c r="CZ109" s="24">
        <f t="shared" si="125"/>
        <v>0</v>
      </c>
      <c r="DA109" s="24">
        <f t="shared" si="125"/>
        <v>0</v>
      </c>
      <c r="DB109" s="24">
        <f t="shared" si="131"/>
        <v>0</v>
      </c>
      <c r="DC109" s="24">
        <f t="shared" si="131"/>
        <v>2353245</v>
      </c>
      <c r="DD109" s="24">
        <f t="shared" si="131"/>
        <v>0</v>
      </c>
      <c r="DE109" s="24"/>
      <c r="DF109" s="24">
        <f t="shared" si="132"/>
        <v>0</v>
      </c>
      <c r="DG109" s="24">
        <f t="shared" si="132"/>
        <v>0</v>
      </c>
      <c r="DH109" s="24">
        <f t="shared" si="132"/>
        <v>0</v>
      </c>
    </row>
    <row r="110" spans="1:112" ht="23.25" customHeight="1" x14ac:dyDescent="0.25">
      <c r="A110" s="90"/>
      <c r="B110" s="91"/>
      <c r="C110" s="69" t="s">
        <v>306</v>
      </c>
      <c r="D110" s="92" t="s">
        <v>307</v>
      </c>
      <c r="E110" s="22">
        <v>301</v>
      </c>
      <c r="F110" s="93" t="s">
        <v>308</v>
      </c>
      <c r="G110" s="24">
        <f t="shared" si="110"/>
        <v>30000000</v>
      </c>
      <c r="H110" s="72"/>
      <c r="I110" s="72">
        <v>30000000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1"/>
        <v>1</v>
      </c>
      <c r="AB110" s="24">
        <f t="shared" si="112"/>
        <v>30000000</v>
      </c>
      <c r="AC110" s="72"/>
      <c r="AD110" s="72"/>
      <c r="AE110" s="72">
        <f>+'[1]OCTUBRE 2016'!$M$1347</f>
        <v>30000000</v>
      </c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13"/>
        <v>0</v>
      </c>
      <c r="AX110" s="24">
        <f t="shared" si="114"/>
        <v>0</v>
      </c>
      <c r="AY110" s="72"/>
      <c r="AZ110" s="24">
        <f>I110-AE110</f>
        <v>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19"/>
        <v>1</v>
      </c>
      <c r="BS110" s="24">
        <f t="shared" si="120"/>
        <v>30000000</v>
      </c>
      <c r="BT110" s="72"/>
      <c r="BU110" s="72"/>
      <c r="BV110" s="72">
        <f>+'[2]DICIEMBRE 2016'!$H$1624</f>
        <v>30000000</v>
      </c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1"/>
        <v>0</v>
      </c>
      <c r="CO110" s="24">
        <f t="shared" si="122"/>
        <v>0</v>
      </c>
      <c r="CP110" s="72"/>
      <c r="CQ110" s="24">
        <f>I110-BV110</f>
        <v>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</row>
    <row r="111" spans="1:112" ht="19.5" customHeight="1" x14ac:dyDescent="0.25">
      <c r="A111" s="90"/>
      <c r="B111" s="91"/>
      <c r="C111" s="69" t="s">
        <v>309</v>
      </c>
      <c r="D111" s="92" t="s">
        <v>310</v>
      </c>
      <c r="E111" s="22">
        <v>301</v>
      </c>
      <c r="F111" s="93" t="s">
        <v>308</v>
      </c>
      <c r="G111" s="24">
        <f t="shared" si="110"/>
        <v>80000000</v>
      </c>
      <c r="H111" s="72"/>
      <c r="I111" s="72">
        <v>80000000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1"/>
        <v>0.70442499999999997</v>
      </c>
      <c r="AB111" s="24">
        <f t="shared" si="112"/>
        <v>56354000</v>
      </c>
      <c r="AC111" s="72"/>
      <c r="AD111" s="72"/>
      <c r="AE111" s="72">
        <f>+'[2]DICIEMBRE 2016'!$M$1635</f>
        <v>56354000</v>
      </c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13"/>
        <v>0.29557500000000003</v>
      </c>
      <c r="AX111" s="24">
        <f t="shared" si="114"/>
        <v>23646000</v>
      </c>
      <c r="AY111" s="72"/>
      <c r="AZ111" s="24">
        <f>I111-AE111</f>
        <v>23646000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19"/>
        <v>0.70442499999999997</v>
      </c>
      <c r="BS111" s="24">
        <f t="shared" si="120"/>
        <v>56354000</v>
      </c>
      <c r="BT111" s="72"/>
      <c r="BU111" s="72"/>
      <c r="BV111" s="72">
        <f>+'[2]DICIEMBRE 2016'!$H$1633</f>
        <v>56354000</v>
      </c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1"/>
        <v>0.29557500000000003</v>
      </c>
      <c r="CO111" s="24">
        <f t="shared" si="122"/>
        <v>23646000</v>
      </c>
      <c r="CP111" s="72"/>
      <c r="CQ111" s="24">
        <f>I111-BV111</f>
        <v>23646000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</row>
    <row r="112" spans="1:112" ht="30" x14ac:dyDescent="0.25">
      <c r="A112" s="90"/>
      <c r="B112" s="91"/>
      <c r="C112" s="69" t="s">
        <v>311</v>
      </c>
      <c r="D112" s="92" t="s">
        <v>312</v>
      </c>
      <c r="E112" s="22">
        <v>301</v>
      </c>
      <c r="F112" s="93" t="s">
        <v>308</v>
      </c>
      <c r="G112" s="24">
        <f t="shared" si="110"/>
        <v>75000000</v>
      </c>
      <c r="H112" s="72"/>
      <c r="I112" s="72">
        <v>75000000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25">
        <f t="shared" si="111"/>
        <v>0.66542773333333338</v>
      </c>
      <c r="AB112" s="24">
        <f t="shared" si="112"/>
        <v>49907080</v>
      </c>
      <c r="AC112" s="72"/>
      <c r="AD112" s="72"/>
      <c r="AE112" s="72">
        <f>+'[4]DICIEMBRE 2016'!$M$1634</f>
        <v>49907080</v>
      </c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25">
        <f t="shared" si="113"/>
        <v>0.33457226666666662</v>
      </c>
      <c r="AX112" s="24">
        <f t="shared" si="114"/>
        <v>25092920</v>
      </c>
      <c r="AY112" s="72"/>
      <c r="AZ112" s="24">
        <f>I112-AE112</f>
        <v>25092920</v>
      </c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25">
        <f t="shared" si="119"/>
        <v>0.66542773333333338</v>
      </c>
      <c r="BS112" s="24">
        <f t="shared" si="120"/>
        <v>49907080</v>
      </c>
      <c r="BT112" s="72"/>
      <c r="BU112" s="72"/>
      <c r="BV112" s="72">
        <f>+'[5]NOVIEMBRE 2016'!$H$1549</f>
        <v>49907080</v>
      </c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25">
        <f t="shared" si="121"/>
        <v>0.33457226666666662</v>
      </c>
      <c r="CO112" s="24">
        <f t="shared" si="122"/>
        <v>25092920</v>
      </c>
      <c r="CP112" s="72"/>
      <c r="CQ112" s="24">
        <f>I112-BV112</f>
        <v>25092920</v>
      </c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24"/>
    </row>
    <row r="113" spans="1:113" s="43" customFormat="1" ht="21" customHeight="1" thickBot="1" x14ac:dyDescent="0.3">
      <c r="A113" s="73"/>
      <c r="B113" s="257" t="s">
        <v>313</v>
      </c>
      <c r="C113" s="258"/>
      <c r="D113" s="258"/>
      <c r="E113" s="258"/>
      <c r="F113" s="259"/>
      <c r="G113" s="61">
        <f>SUM(G95:G112)</f>
        <v>2969123548</v>
      </c>
      <c r="H113" s="61">
        <f t="shared" ref="H113:Z113" si="133">SUM(H95:H112)</f>
        <v>200000000</v>
      </c>
      <c r="I113" s="61">
        <f t="shared" si="133"/>
        <v>453168096</v>
      </c>
      <c r="J113" s="61">
        <f t="shared" si="133"/>
        <v>0</v>
      </c>
      <c r="K113" s="61">
        <f t="shared" si="133"/>
        <v>701280247</v>
      </c>
      <c r="L113" s="61">
        <f t="shared" si="133"/>
        <v>0</v>
      </c>
      <c r="M113" s="61">
        <f t="shared" si="133"/>
        <v>0</v>
      </c>
      <c r="N113" s="61">
        <f t="shared" si="133"/>
        <v>0</v>
      </c>
      <c r="O113" s="61">
        <f t="shared" si="133"/>
        <v>0</v>
      </c>
      <c r="P113" s="61">
        <f t="shared" si="133"/>
        <v>0</v>
      </c>
      <c r="Q113" s="61">
        <f t="shared" si="133"/>
        <v>0</v>
      </c>
      <c r="R113" s="61">
        <f t="shared" si="133"/>
        <v>0</v>
      </c>
      <c r="S113" s="61">
        <f t="shared" si="133"/>
        <v>0</v>
      </c>
      <c r="T113" s="61">
        <f t="shared" si="133"/>
        <v>0</v>
      </c>
      <c r="U113" s="61">
        <f t="shared" si="133"/>
        <v>245242997</v>
      </c>
      <c r="V113" s="61">
        <f t="shared" si="133"/>
        <v>1262551657</v>
      </c>
      <c r="W113" s="61">
        <f t="shared" si="133"/>
        <v>0</v>
      </c>
      <c r="X113" s="61">
        <f t="shared" si="133"/>
        <v>0</v>
      </c>
      <c r="Y113" s="61">
        <f t="shared" si="133"/>
        <v>0</v>
      </c>
      <c r="Z113" s="61">
        <f t="shared" si="133"/>
        <v>106880551</v>
      </c>
      <c r="AA113" s="39">
        <f t="shared" si="111"/>
        <v>0.92275936238676182</v>
      </c>
      <c r="AB113" s="61">
        <f>SUM(AB95:AB112)</f>
        <v>2739786552</v>
      </c>
      <c r="AC113" s="61"/>
      <c r="AD113" s="61">
        <f t="shared" ref="AD113:AV113" si="134">SUM(AD95:AD112)</f>
        <v>193150942</v>
      </c>
      <c r="AE113" s="61">
        <f t="shared" si="134"/>
        <v>377850665</v>
      </c>
      <c r="AF113" s="61">
        <f t="shared" si="134"/>
        <v>0</v>
      </c>
      <c r="AG113" s="61">
        <f t="shared" si="134"/>
        <v>631775394</v>
      </c>
      <c r="AH113" s="61">
        <f t="shared" si="134"/>
        <v>0</v>
      </c>
      <c r="AI113" s="61">
        <f t="shared" si="134"/>
        <v>0</v>
      </c>
      <c r="AJ113" s="61">
        <f t="shared" si="134"/>
        <v>0</v>
      </c>
      <c r="AK113" s="61">
        <f t="shared" si="134"/>
        <v>0</v>
      </c>
      <c r="AL113" s="61">
        <f t="shared" si="134"/>
        <v>0</v>
      </c>
      <c r="AM113" s="61">
        <f t="shared" si="134"/>
        <v>0</v>
      </c>
      <c r="AN113" s="61">
        <f t="shared" si="134"/>
        <v>0</v>
      </c>
      <c r="AO113" s="61">
        <f t="shared" si="134"/>
        <v>0</v>
      </c>
      <c r="AP113" s="61">
        <f t="shared" si="134"/>
        <v>0</v>
      </c>
      <c r="AQ113" s="61">
        <f t="shared" si="134"/>
        <v>231437005</v>
      </c>
      <c r="AR113" s="61">
        <f t="shared" si="134"/>
        <v>1205496037</v>
      </c>
      <c r="AS113" s="61">
        <f t="shared" si="134"/>
        <v>0</v>
      </c>
      <c r="AT113" s="61">
        <f t="shared" si="134"/>
        <v>0</v>
      </c>
      <c r="AU113" s="61">
        <f t="shared" si="134"/>
        <v>0</v>
      </c>
      <c r="AV113" s="61">
        <f t="shared" si="134"/>
        <v>100076509</v>
      </c>
      <c r="AW113" s="39">
        <f t="shared" si="113"/>
        <v>7.7240637613238183E-2</v>
      </c>
      <c r="AX113" s="61">
        <f>SUM(AX95:AX112)</f>
        <v>229336996</v>
      </c>
      <c r="AY113" s="61">
        <f t="shared" ref="AY113:BQ113" si="135">SUM(AY95:AY112)</f>
        <v>6849058</v>
      </c>
      <c r="AZ113" s="61">
        <f t="shared" si="135"/>
        <v>75317431</v>
      </c>
      <c r="BA113" s="61">
        <f t="shared" si="135"/>
        <v>0</v>
      </c>
      <c r="BB113" s="61">
        <f t="shared" si="135"/>
        <v>69504853</v>
      </c>
      <c r="BC113" s="61">
        <f t="shared" si="135"/>
        <v>0</v>
      </c>
      <c r="BD113" s="61">
        <f t="shared" si="135"/>
        <v>0</v>
      </c>
      <c r="BE113" s="61">
        <f t="shared" si="135"/>
        <v>0</v>
      </c>
      <c r="BF113" s="61">
        <f t="shared" si="135"/>
        <v>0</v>
      </c>
      <c r="BG113" s="61">
        <f t="shared" si="135"/>
        <v>0</v>
      </c>
      <c r="BH113" s="61">
        <f t="shared" si="135"/>
        <v>0</v>
      </c>
      <c r="BI113" s="61">
        <f t="shared" si="135"/>
        <v>0</v>
      </c>
      <c r="BJ113" s="61">
        <f t="shared" si="135"/>
        <v>0</v>
      </c>
      <c r="BK113" s="61">
        <f t="shared" si="135"/>
        <v>0</v>
      </c>
      <c r="BL113" s="61">
        <f t="shared" si="135"/>
        <v>13805992</v>
      </c>
      <c r="BM113" s="61">
        <f t="shared" si="135"/>
        <v>57055620</v>
      </c>
      <c r="BN113" s="61">
        <f t="shared" si="135"/>
        <v>0</v>
      </c>
      <c r="BO113" s="61">
        <f t="shared" si="135"/>
        <v>0</v>
      </c>
      <c r="BP113" s="61">
        <f t="shared" si="135"/>
        <v>0</v>
      </c>
      <c r="BQ113" s="61">
        <f t="shared" si="135"/>
        <v>6804042</v>
      </c>
      <c r="BR113" s="39">
        <f t="shared" si="119"/>
        <v>0.92275936238676182</v>
      </c>
      <c r="BS113" s="61">
        <f>SUM(BS95:BS112)</f>
        <v>2739786552</v>
      </c>
      <c r="BT113" s="61">
        <f>SUM(BT95:BT109)</f>
        <v>0</v>
      </c>
      <c r="BU113" s="61">
        <f t="shared" ref="BU113:CM113" si="136">SUM(BU95:BU112)</f>
        <v>193150942</v>
      </c>
      <c r="BV113" s="61">
        <f t="shared" si="136"/>
        <v>377850665</v>
      </c>
      <c r="BW113" s="61">
        <f t="shared" si="136"/>
        <v>0</v>
      </c>
      <c r="BX113" s="61">
        <f t="shared" si="136"/>
        <v>631775394</v>
      </c>
      <c r="BY113" s="61">
        <f t="shared" si="136"/>
        <v>0</v>
      </c>
      <c r="BZ113" s="61">
        <f t="shared" si="136"/>
        <v>0</v>
      </c>
      <c r="CA113" s="61">
        <f t="shared" si="136"/>
        <v>0</v>
      </c>
      <c r="CB113" s="61">
        <f t="shared" si="136"/>
        <v>0</v>
      </c>
      <c r="CC113" s="61">
        <f t="shared" si="136"/>
        <v>0</v>
      </c>
      <c r="CD113" s="61">
        <f t="shared" si="136"/>
        <v>0</v>
      </c>
      <c r="CE113" s="61">
        <f t="shared" si="136"/>
        <v>0</v>
      </c>
      <c r="CF113" s="61">
        <f t="shared" si="136"/>
        <v>0</v>
      </c>
      <c r="CG113" s="61">
        <f t="shared" si="136"/>
        <v>0</v>
      </c>
      <c r="CH113" s="61">
        <f t="shared" si="136"/>
        <v>231437005</v>
      </c>
      <c r="CI113" s="61">
        <f t="shared" si="136"/>
        <v>1205496037</v>
      </c>
      <c r="CJ113" s="61">
        <f t="shared" si="136"/>
        <v>0</v>
      </c>
      <c r="CK113" s="61">
        <f t="shared" si="136"/>
        <v>0</v>
      </c>
      <c r="CL113" s="61">
        <f t="shared" si="136"/>
        <v>0</v>
      </c>
      <c r="CM113" s="61">
        <f t="shared" si="136"/>
        <v>100076509</v>
      </c>
      <c r="CN113" s="39">
        <f t="shared" si="121"/>
        <v>7.7240637613238183E-2</v>
      </c>
      <c r="CO113" s="61">
        <f>SUM(CO95:CO112)</f>
        <v>229336996</v>
      </c>
      <c r="CP113" s="61">
        <f t="shared" ref="CP113:DH113" si="137">SUM(CP95:CP112)</f>
        <v>6849058</v>
      </c>
      <c r="CQ113" s="61">
        <f t="shared" si="137"/>
        <v>75317431</v>
      </c>
      <c r="CR113" s="61">
        <f t="shared" si="137"/>
        <v>0</v>
      </c>
      <c r="CS113" s="61">
        <f t="shared" si="137"/>
        <v>69504853</v>
      </c>
      <c r="CT113" s="61">
        <f t="shared" si="137"/>
        <v>0</v>
      </c>
      <c r="CU113" s="61">
        <f t="shared" si="137"/>
        <v>0</v>
      </c>
      <c r="CV113" s="61">
        <f t="shared" si="137"/>
        <v>0</v>
      </c>
      <c r="CW113" s="61">
        <f t="shared" si="137"/>
        <v>0</v>
      </c>
      <c r="CX113" s="61">
        <f t="shared" si="137"/>
        <v>0</v>
      </c>
      <c r="CY113" s="61">
        <f t="shared" si="137"/>
        <v>0</v>
      </c>
      <c r="CZ113" s="61">
        <f t="shared" si="137"/>
        <v>0</v>
      </c>
      <c r="DA113" s="61">
        <f t="shared" si="137"/>
        <v>0</v>
      </c>
      <c r="DB113" s="61">
        <f t="shared" si="137"/>
        <v>0</v>
      </c>
      <c r="DC113" s="61">
        <f t="shared" si="137"/>
        <v>13805992</v>
      </c>
      <c r="DD113" s="61">
        <f t="shared" si="137"/>
        <v>57055620</v>
      </c>
      <c r="DE113" s="61">
        <f t="shared" si="137"/>
        <v>0</v>
      </c>
      <c r="DF113" s="61">
        <f t="shared" si="137"/>
        <v>0</v>
      </c>
      <c r="DG113" s="61">
        <f t="shared" si="137"/>
        <v>0</v>
      </c>
      <c r="DH113" s="61">
        <f t="shared" si="137"/>
        <v>6804042</v>
      </c>
    </row>
    <row r="114" spans="1:113" ht="51" customHeight="1" thickTop="1" x14ac:dyDescent="0.25">
      <c r="A114" s="249" t="s">
        <v>314</v>
      </c>
      <c r="B114" s="245" t="s">
        <v>315</v>
      </c>
      <c r="C114" s="69" t="s">
        <v>316</v>
      </c>
      <c r="D114" s="21" t="s">
        <v>317</v>
      </c>
      <c r="E114" s="94">
        <v>111</v>
      </c>
      <c r="F114" s="23" t="s">
        <v>318</v>
      </c>
      <c r="G114" s="24">
        <f t="shared" ref="G114:G132" si="138">SUM(H114:Z114)</f>
        <v>2447865779</v>
      </c>
      <c r="H114" s="24"/>
      <c r="I114" s="24">
        <f>2264025000-228708462+125000000</f>
        <v>2160316538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4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28000000+784585184-485000000-9000000-16000000-228000000</f>
        <v>74585184</v>
      </c>
      <c r="AA114" s="25">
        <f t="shared" si="111"/>
        <v>0.87028579314928201</v>
      </c>
      <c r="AB114" s="24">
        <f t="shared" ref="AB114:AB132" si="139">SUM(AC114:AV114)</f>
        <v>2130342811</v>
      </c>
      <c r="AC114" s="24"/>
      <c r="AD114" s="24"/>
      <c r="AE114" s="24">
        <f>+'[4]DICIEMBRE 2016'!$M$18</f>
        <v>2128663595</v>
      </c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+'[2]DICIEMBRE 2016'!$AG$18</f>
        <v>1679216</v>
      </c>
      <c r="AW114" s="25">
        <f t="shared" si="113"/>
        <v>0.12971420685071799</v>
      </c>
      <c r="AX114" s="24">
        <f t="shared" ref="AX114:AX132" si="140">SUM(AY114:BQ114)</f>
        <v>317522968</v>
      </c>
      <c r="AY114" s="24">
        <f t="shared" ref="AY114:BM125" si="141">H114-AD114</f>
        <v>0</v>
      </c>
      <c r="AZ114" s="24">
        <f t="shared" si="141"/>
        <v>31652943</v>
      </c>
      <c r="BA114" s="24">
        <f t="shared" si="141"/>
        <v>20302986</v>
      </c>
      <c r="BB114" s="24">
        <f t="shared" ref="BB114:BM124" si="142">+K114-AG114</f>
        <v>0</v>
      </c>
      <c r="BC114" s="24">
        <f t="shared" si="142"/>
        <v>0</v>
      </c>
      <c r="BD114" s="24">
        <f t="shared" si="142"/>
        <v>54387</v>
      </c>
      <c r="BE114" s="24">
        <f t="shared" si="142"/>
        <v>30665828</v>
      </c>
      <c r="BF114" s="24">
        <f t="shared" si="142"/>
        <v>1940856</v>
      </c>
      <c r="BG114" s="24">
        <f t="shared" si="142"/>
        <v>0</v>
      </c>
      <c r="BH114" s="24">
        <f t="shared" si="142"/>
        <v>160000000</v>
      </c>
      <c r="BI114" s="24">
        <f t="shared" si="142"/>
        <v>0</v>
      </c>
      <c r="BJ114" s="24">
        <f t="shared" si="142"/>
        <v>0</v>
      </c>
      <c r="BK114" s="24">
        <f t="shared" si="142"/>
        <v>0</v>
      </c>
      <c r="BL114" s="24">
        <f t="shared" si="142"/>
        <v>0</v>
      </c>
      <c r="BM114" s="24">
        <f t="shared" si="142"/>
        <v>0</v>
      </c>
      <c r="BN114" s="24"/>
      <c r="BO114" s="24"/>
      <c r="BP114" s="24">
        <f t="shared" ref="BP114:BP125" si="143">Y114-AU114</f>
        <v>0</v>
      </c>
      <c r="BQ114" s="24">
        <f t="shared" ref="BQ114:BQ124" si="144">+Z114-AV114</f>
        <v>72905968</v>
      </c>
      <c r="BR114" s="25">
        <f t="shared" si="119"/>
        <v>0.87028579314928201</v>
      </c>
      <c r="BS114" s="24">
        <f t="shared" ref="BS114:BS132" si="145">SUM(BT114:CM114)</f>
        <v>2130342811</v>
      </c>
      <c r="BT114" s="24"/>
      <c r="BU114" s="24"/>
      <c r="BV114" s="24">
        <f>+'[4]DICIEMBRE 2016'!$M$18</f>
        <v>2128663595</v>
      </c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+'[9]AGOSTO 2016'!$H$29</f>
        <v>1679216</v>
      </c>
      <c r="CN114" s="25">
        <f t="shared" si="121"/>
        <v>0.12971420685071799</v>
      </c>
      <c r="CO114" s="24">
        <f t="shared" ref="CO114:CO132" si="146">SUM(CP114:DH114)</f>
        <v>317522968</v>
      </c>
      <c r="CP114" s="24">
        <f t="shared" ref="CP114:CU125" si="147">H114-BU114</f>
        <v>0</v>
      </c>
      <c r="CQ114" s="24">
        <f t="shared" si="147"/>
        <v>31652943</v>
      </c>
      <c r="CR114" s="24">
        <f t="shared" si="147"/>
        <v>20302986</v>
      </c>
      <c r="CS114" s="24">
        <f t="shared" si="147"/>
        <v>0</v>
      </c>
      <c r="CT114" s="24">
        <f t="shared" si="147"/>
        <v>0</v>
      </c>
      <c r="CU114" s="24">
        <f t="shared" si="147"/>
        <v>54387</v>
      </c>
      <c r="CV114" s="24">
        <f t="shared" ref="CV114:CX124" si="148">+N114-CA114</f>
        <v>30665828</v>
      </c>
      <c r="CW114" s="24">
        <f t="shared" si="148"/>
        <v>1940856</v>
      </c>
      <c r="CX114" s="24">
        <f t="shared" si="148"/>
        <v>0</v>
      </c>
      <c r="CY114" s="24">
        <f t="shared" ref="CY114:DA125" si="149">Q114-CD114</f>
        <v>160000000</v>
      </c>
      <c r="CZ114" s="24">
        <f t="shared" si="149"/>
        <v>0</v>
      </c>
      <c r="DA114" s="24">
        <f t="shared" si="149"/>
        <v>0</v>
      </c>
      <c r="DB114" s="24">
        <f t="shared" ref="DB114:DD124" si="150">+T114-CG114</f>
        <v>0</v>
      </c>
      <c r="DC114" s="24">
        <f t="shared" si="150"/>
        <v>0</v>
      </c>
      <c r="DD114" s="24">
        <f t="shared" si="150"/>
        <v>0</v>
      </c>
      <c r="DE114" s="24"/>
      <c r="DF114" s="24">
        <f t="shared" ref="DF114:DH124" si="151">+X114-CK114</f>
        <v>0</v>
      </c>
      <c r="DG114" s="24">
        <f t="shared" si="151"/>
        <v>0</v>
      </c>
      <c r="DH114" s="24">
        <f t="shared" si="151"/>
        <v>72905968</v>
      </c>
    </row>
    <row r="115" spans="1:113" s="58" customFormat="1" ht="36" customHeight="1" x14ac:dyDescent="0.25">
      <c r="A115" s="246"/>
      <c r="B115" s="240"/>
      <c r="C115" s="55" t="s">
        <v>319</v>
      </c>
      <c r="D115" s="21" t="s">
        <v>320</v>
      </c>
      <c r="E115" s="89">
        <v>111</v>
      </c>
      <c r="F115" s="23" t="s">
        <v>321</v>
      </c>
      <c r="G115" s="24">
        <f t="shared" si="138"/>
        <v>2244924802</v>
      </c>
      <c r="H115" s="54"/>
      <c r="I115" s="24">
        <f>982978733+1062351800+50000000-125000000</f>
        <v>1970330533</v>
      </c>
      <c r="J115" s="54">
        <v>39062301</v>
      </c>
      <c r="K115" s="54"/>
      <c r="L115" s="54"/>
      <c r="M115" s="54"/>
      <c r="N115" s="54"/>
      <c r="O115" s="54"/>
      <c r="P115" s="54">
        <f>3438802</f>
        <v>3438802</v>
      </c>
      <c r="Q115" s="54">
        <f>50000000</f>
        <v>50000000</v>
      </c>
      <c r="R115" s="54"/>
      <c r="S115" s="54"/>
      <c r="T115" s="54"/>
      <c r="U115" s="54"/>
      <c r="V115" s="54"/>
      <c r="W115" s="54"/>
      <c r="X115" s="54"/>
      <c r="Y115" s="54"/>
      <c r="Z115" s="54">
        <f>12000000+1000000+2897715+16000000+3195451+27000000+120000000</f>
        <v>182093166</v>
      </c>
      <c r="AA115" s="57">
        <f t="shared" si="111"/>
        <v>0.68797791027300526</v>
      </c>
      <c r="AB115" s="24">
        <f t="shared" si="139"/>
        <v>1544458674</v>
      </c>
      <c r="AC115" s="54"/>
      <c r="AD115" s="54"/>
      <c r="AE115" s="54">
        <f>+'[4]DICIEMBRE 2016'!$M$44</f>
        <v>1325950029</v>
      </c>
      <c r="AF115" s="54">
        <f>+'[5]NOVIEMBRE 2016'!$N$43</f>
        <v>38948568</v>
      </c>
      <c r="AG115" s="54"/>
      <c r="AH115" s="54"/>
      <c r="AI115" s="54"/>
      <c r="AJ115" s="54"/>
      <c r="AK115" s="54"/>
      <c r="AL115" s="54">
        <f>+'[5]NOVIEMBRE 2016'!$T$43</f>
        <v>3438802</v>
      </c>
      <c r="AM115" s="24">
        <f>+'[4]DICIEMBRE 2016'!$U$44</f>
        <v>49852012</v>
      </c>
      <c r="AN115" s="54"/>
      <c r="AO115" s="54"/>
      <c r="AP115" s="54"/>
      <c r="AQ115" s="54"/>
      <c r="AR115" s="54"/>
      <c r="AS115" s="54"/>
      <c r="AT115" s="54"/>
      <c r="AU115" s="54"/>
      <c r="AV115" s="54">
        <f>+'[4]DICIEMBRE 2016'!$AG$44</f>
        <v>126269263</v>
      </c>
      <c r="AW115" s="57">
        <f t="shared" si="113"/>
        <v>0.31202208972699474</v>
      </c>
      <c r="AX115" s="24">
        <f t="shared" si="140"/>
        <v>700466128</v>
      </c>
      <c r="AY115" s="54">
        <f t="shared" si="141"/>
        <v>0</v>
      </c>
      <c r="AZ115" s="54">
        <f t="shared" si="141"/>
        <v>644380504</v>
      </c>
      <c r="BA115" s="54">
        <f t="shared" si="141"/>
        <v>113733</v>
      </c>
      <c r="BB115" s="54">
        <f t="shared" si="142"/>
        <v>0</v>
      </c>
      <c r="BC115" s="54">
        <f t="shared" si="142"/>
        <v>0</v>
      </c>
      <c r="BD115" s="24">
        <f t="shared" si="142"/>
        <v>0</v>
      </c>
      <c r="BE115" s="54">
        <f t="shared" si="142"/>
        <v>0</v>
      </c>
      <c r="BF115" s="54">
        <f t="shared" si="142"/>
        <v>0</v>
      </c>
      <c r="BG115" s="54">
        <f t="shared" si="142"/>
        <v>0</v>
      </c>
      <c r="BH115" s="54">
        <f t="shared" si="142"/>
        <v>147988</v>
      </c>
      <c r="BI115" s="54">
        <f t="shared" si="142"/>
        <v>0</v>
      </c>
      <c r="BJ115" s="54">
        <f t="shared" si="142"/>
        <v>0</v>
      </c>
      <c r="BK115" s="54">
        <f t="shared" si="142"/>
        <v>0</v>
      </c>
      <c r="BL115" s="54">
        <f t="shared" si="142"/>
        <v>0</v>
      </c>
      <c r="BM115" s="54">
        <f t="shared" si="142"/>
        <v>0</v>
      </c>
      <c r="BN115" s="54"/>
      <c r="BO115" s="54"/>
      <c r="BP115" s="24">
        <f t="shared" si="143"/>
        <v>0</v>
      </c>
      <c r="BQ115" s="54">
        <f t="shared" si="144"/>
        <v>55823903</v>
      </c>
      <c r="BR115" s="57">
        <f t="shared" si="119"/>
        <v>0.68797791027300526</v>
      </c>
      <c r="BS115" s="24">
        <f t="shared" si="145"/>
        <v>1544458674</v>
      </c>
      <c r="BT115" s="54"/>
      <c r="BU115" s="54"/>
      <c r="BV115" s="54">
        <f>+'[4]DICIEMBRE 2016'!$M$44</f>
        <v>1325950029</v>
      </c>
      <c r="BW115" s="54">
        <f>+'[2]DICIEMBRE 2016'!$H$71+'[2]DICIEMBRE 2016'!$N$84+'[2]DICIEMBRE 2016'!$H$125</f>
        <v>38948568</v>
      </c>
      <c r="BX115" s="54"/>
      <c r="BY115" s="54"/>
      <c r="BZ115" s="54"/>
      <c r="CA115" s="54"/>
      <c r="CB115" s="54"/>
      <c r="CC115" s="54">
        <f>+'[2]DICIEMBRE 2016'!$H$123+'[2]DICIEMBRE 2016'!$H$95</f>
        <v>3438802</v>
      </c>
      <c r="CD115" s="54">
        <f>+'[4]DICIEMBRE 2016'!$U$44</f>
        <v>49852012</v>
      </c>
      <c r="CE115" s="54"/>
      <c r="CF115" s="54"/>
      <c r="CG115" s="54"/>
      <c r="CH115" s="54"/>
      <c r="CI115" s="54"/>
      <c r="CJ115" s="54"/>
      <c r="CK115" s="54"/>
      <c r="CL115" s="54"/>
      <c r="CM115" s="54">
        <f>+'[4]DICIEMBRE 2016'!$AG$44</f>
        <v>126269263</v>
      </c>
      <c r="CN115" s="57">
        <f t="shared" si="121"/>
        <v>0.31202208972699474</v>
      </c>
      <c r="CO115" s="24">
        <f t="shared" si="146"/>
        <v>700466128</v>
      </c>
      <c r="CP115" s="24">
        <f t="shared" si="147"/>
        <v>0</v>
      </c>
      <c r="CQ115" s="54">
        <f t="shared" si="147"/>
        <v>644380504</v>
      </c>
      <c r="CR115" s="54">
        <f t="shared" si="147"/>
        <v>113733</v>
      </c>
      <c r="CS115" s="54">
        <f t="shared" si="147"/>
        <v>0</v>
      </c>
      <c r="CT115" s="54">
        <f t="shared" si="147"/>
        <v>0</v>
      </c>
      <c r="CU115" s="24">
        <f t="shared" si="147"/>
        <v>0</v>
      </c>
      <c r="CV115" s="54">
        <f t="shared" si="148"/>
        <v>0</v>
      </c>
      <c r="CW115" s="54">
        <f t="shared" si="148"/>
        <v>0</v>
      </c>
      <c r="CX115" s="24">
        <f t="shared" si="148"/>
        <v>0</v>
      </c>
      <c r="CY115" s="54">
        <f t="shared" si="149"/>
        <v>147988</v>
      </c>
      <c r="CZ115" s="54">
        <f t="shared" si="149"/>
        <v>0</v>
      </c>
      <c r="DA115" s="54">
        <f t="shared" si="149"/>
        <v>0</v>
      </c>
      <c r="DB115" s="54">
        <f t="shared" si="150"/>
        <v>0</v>
      </c>
      <c r="DC115" s="54">
        <f t="shared" si="150"/>
        <v>0</v>
      </c>
      <c r="DD115" s="54">
        <f t="shared" si="150"/>
        <v>0</v>
      </c>
      <c r="DE115" s="54"/>
      <c r="DF115" s="54">
        <f t="shared" si="151"/>
        <v>0</v>
      </c>
      <c r="DG115" s="24">
        <f t="shared" si="151"/>
        <v>0</v>
      </c>
      <c r="DH115" s="54">
        <f t="shared" si="151"/>
        <v>55823903</v>
      </c>
    </row>
    <row r="116" spans="1:113" ht="21" customHeight="1" x14ac:dyDescent="0.25">
      <c r="A116" s="246"/>
      <c r="B116" s="241"/>
      <c r="C116" s="69" t="s">
        <v>322</v>
      </c>
      <c r="D116" s="21" t="s">
        <v>323</v>
      </c>
      <c r="E116" s="94">
        <v>111</v>
      </c>
      <c r="F116" s="23" t="s">
        <v>324</v>
      </c>
      <c r="G116" s="24">
        <f t="shared" si="138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4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1"/>
        <v>0.95448433397443</v>
      </c>
      <c r="AB116" s="24">
        <f t="shared" si="139"/>
        <v>145222032</v>
      </c>
      <c r="AC116" s="24"/>
      <c r="AD116" s="24"/>
      <c r="AE116" s="24"/>
      <c r="AF116" s="24">
        <f>+'[5]NOVIEMBRE 2016'!$N$127</f>
        <v>110222032</v>
      </c>
      <c r="AG116" s="24"/>
      <c r="AH116" s="24"/>
      <c r="AI116" s="24"/>
      <c r="AJ116" s="24"/>
      <c r="AK116" s="24"/>
      <c r="AL116" s="24"/>
      <c r="AM116" s="24">
        <f>+'[1]OCTUBRE 2016'!$U$104</f>
        <v>35000000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13"/>
        <v>4.5515666025570001E-2</v>
      </c>
      <c r="AX116" s="24">
        <f t="shared" si="140"/>
        <v>6925077</v>
      </c>
      <c r="AY116" s="24">
        <f t="shared" si="141"/>
        <v>0</v>
      </c>
      <c r="AZ116" s="24">
        <f t="shared" si="141"/>
        <v>0</v>
      </c>
      <c r="BA116" s="24">
        <f t="shared" si="141"/>
        <v>1416008</v>
      </c>
      <c r="BB116" s="24">
        <f t="shared" si="142"/>
        <v>0</v>
      </c>
      <c r="BC116" s="24">
        <f t="shared" si="142"/>
        <v>0</v>
      </c>
      <c r="BD116" s="24">
        <f t="shared" si="142"/>
        <v>0</v>
      </c>
      <c r="BE116" s="24">
        <f t="shared" si="142"/>
        <v>0</v>
      </c>
      <c r="BF116" s="24">
        <f t="shared" si="142"/>
        <v>0</v>
      </c>
      <c r="BG116" s="24">
        <f t="shared" si="142"/>
        <v>0</v>
      </c>
      <c r="BH116" s="24">
        <f t="shared" si="142"/>
        <v>5509069</v>
      </c>
      <c r="BI116" s="24">
        <f t="shared" si="142"/>
        <v>0</v>
      </c>
      <c r="BJ116" s="24">
        <f t="shared" si="142"/>
        <v>0</v>
      </c>
      <c r="BK116" s="24">
        <f t="shared" si="142"/>
        <v>0</v>
      </c>
      <c r="BL116" s="24">
        <f t="shared" si="142"/>
        <v>0</v>
      </c>
      <c r="BM116" s="24">
        <f t="shared" si="142"/>
        <v>0</v>
      </c>
      <c r="BN116" s="24"/>
      <c r="BO116" s="24"/>
      <c r="BP116" s="24">
        <f t="shared" si="143"/>
        <v>0</v>
      </c>
      <c r="BQ116" s="24">
        <f t="shared" si="144"/>
        <v>0</v>
      </c>
      <c r="BR116" s="25">
        <f t="shared" si="119"/>
        <v>0.95448433397443</v>
      </c>
      <c r="BS116" s="24">
        <f t="shared" si="145"/>
        <v>145222032</v>
      </c>
      <c r="BT116" s="24"/>
      <c r="BU116" s="24"/>
      <c r="BV116" s="24"/>
      <c r="BW116" s="24">
        <f>'[1]OCTUBRE 2016'!$H$105+'[1]OCTUBRE 2016'!$H$109+'[1]OCTUBRE 2016'!$H$111</f>
        <v>110222032</v>
      </c>
      <c r="BX116" s="24"/>
      <c r="BY116" s="24"/>
      <c r="BZ116" s="24"/>
      <c r="CA116" s="24"/>
      <c r="CB116" s="24"/>
      <c r="CC116" s="24"/>
      <c r="CD116" s="24">
        <f>'[1]OCTUBRE 2016'!$U$107+'[1]OCTUBRE 2016'!$U$113</f>
        <v>35000000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1"/>
        <v>4.5515666025570001E-2</v>
      </c>
      <c r="CO116" s="24">
        <f t="shared" si="146"/>
        <v>6925077</v>
      </c>
      <c r="CP116" s="24">
        <f t="shared" si="147"/>
        <v>0</v>
      </c>
      <c r="CQ116" s="24">
        <f t="shared" si="147"/>
        <v>0</v>
      </c>
      <c r="CR116" s="24">
        <f t="shared" si="147"/>
        <v>1416008</v>
      </c>
      <c r="CS116" s="24">
        <f t="shared" si="147"/>
        <v>0</v>
      </c>
      <c r="CT116" s="24">
        <f t="shared" si="147"/>
        <v>0</v>
      </c>
      <c r="CU116" s="24">
        <f t="shared" si="147"/>
        <v>0</v>
      </c>
      <c r="CV116" s="24">
        <f t="shared" si="148"/>
        <v>0</v>
      </c>
      <c r="CW116" s="24">
        <f t="shared" si="148"/>
        <v>0</v>
      </c>
      <c r="CX116" s="24">
        <f t="shared" si="148"/>
        <v>0</v>
      </c>
      <c r="CY116" s="24">
        <f t="shared" si="149"/>
        <v>5509069</v>
      </c>
      <c r="CZ116" s="24">
        <f t="shared" si="149"/>
        <v>0</v>
      </c>
      <c r="DA116" s="24">
        <f t="shared" si="149"/>
        <v>0</v>
      </c>
      <c r="DB116" s="24">
        <f t="shared" si="150"/>
        <v>0</v>
      </c>
      <c r="DC116" s="24">
        <f t="shared" si="150"/>
        <v>0</v>
      </c>
      <c r="DD116" s="24">
        <f t="shared" si="150"/>
        <v>0</v>
      </c>
      <c r="DE116" s="24"/>
      <c r="DF116" s="24">
        <f t="shared" si="151"/>
        <v>0</v>
      </c>
      <c r="DG116" s="24">
        <f t="shared" si="151"/>
        <v>0</v>
      </c>
      <c r="DH116" s="24">
        <f t="shared" si="151"/>
        <v>0</v>
      </c>
      <c r="DI116" s="43"/>
    </row>
    <row r="117" spans="1:113" ht="35.25" customHeight="1" x14ac:dyDescent="0.25">
      <c r="A117" s="246"/>
      <c r="B117" s="239" t="s">
        <v>325</v>
      </c>
      <c r="C117" s="69" t="s">
        <v>326</v>
      </c>
      <c r="D117" s="21" t="s">
        <v>327</v>
      </c>
      <c r="E117" s="94">
        <v>211</v>
      </c>
      <c r="F117" s="23" t="s">
        <v>328</v>
      </c>
      <c r="G117" s="24">
        <f t="shared" si="138"/>
        <v>2183563386</v>
      </c>
      <c r="H117" s="24"/>
      <c r="I117" s="24">
        <f>2300000000-500000000+260540160-68986271</f>
        <v>1991553889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>
        <v>112130000</v>
      </c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1"/>
        <v>0.73433779769377394</v>
      </c>
      <c r="AB117" s="24">
        <f t="shared" si="139"/>
        <v>1603473128</v>
      </c>
      <c r="AC117" s="24"/>
      <c r="AD117" s="24"/>
      <c r="AE117" s="24">
        <f>+'[4]DICIEMBRE 2016'!$M$165</f>
        <v>1413185808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>
        <f>+'[2]DICIEMBRE 2016'!$W$161</f>
        <v>110421200</v>
      </c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13"/>
        <v>0.26566220230622606</v>
      </c>
      <c r="AX117" s="24">
        <f t="shared" si="140"/>
        <v>580090258</v>
      </c>
      <c r="AY117" s="24">
        <f t="shared" si="141"/>
        <v>0</v>
      </c>
      <c r="AZ117" s="24">
        <f t="shared" si="141"/>
        <v>578368081</v>
      </c>
      <c r="BA117" s="24">
        <f t="shared" si="141"/>
        <v>0</v>
      </c>
      <c r="BB117" s="24">
        <f t="shared" si="142"/>
        <v>0</v>
      </c>
      <c r="BC117" s="24">
        <f t="shared" si="142"/>
        <v>0</v>
      </c>
      <c r="BD117" s="24">
        <f t="shared" si="142"/>
        <v>0</v>
      </c>
      <c r="BE117" s="24">
        <f t="shared" si="142"/>
        <v>0</v>
      </c>
      <c r="BF117" s="24">
        <f t="shared" si="142"/>
        <v>0</v>
      </c>
      <c r="BG117" s="24">
        <f t="shared" si="142"/>
        <v>0</v>
      </c>
      <c r="BH117" s="24">
        <f t="shared" si="142"/>
        <v>0</v>
      </c>
      <c r="BI117" s="24">
        <f t="shared" si="142"/>
        <v>0</v>
      </c>
      <c r="BJ117" s="24">
        <f t="shared" si="142"/>
        <v>1708800</v>
      </c>
      <c r="BK117" s="24">
        <f t="shared" si="142"/>
        <v>0</v>
      </c>
      <c r="BL117" s="24">
        <f t="shared" si="142"/>
        <v>0</v>
      </c>
      <c r="BM117" s="24">
        <f t="shared" si="142"/>
        <v>0</v>
      </c>
      <c r="BN117" s="24"/>
      <c r="BO117" s="24"/>
      <c r="BP117" s="24">
        <f t="shared" si="143"/>
        <v>0</v>
      </c>
      <c r="BQ117" s="24">
        <f t="shared" si="144"/>
        <v>13377</v>
      </c>
      <c r="BR117" s="25">
        <f t="shared" si="119"/>
        <v>0.73433779769377394</v>
      </c>
      <c r="BS117" s="24">
        <f t="shared" si="145"/>
        <v>1603473128</v>
      </c>
      <c r="BT117" s="24"/>
      <c r="BU117" s="24"/>
      <c r="BV117" s="24">
        <f>+'[4]DICIEMBRE 2016'!$M$165</f>
        <v>1413185808</v>
      </c>
      <c r="BW117" s="24"/>
      <c r="BX117" s="24"/>
      <c r="BY117" s="24"/>
      <c r="BZ117" s="24"/>
      <c r="CA117" s="24"/>
      <c r="CB117" s="24"/>
      <c r="CC117" s="24"/>
      <c r="CD117" s="24">
        <f>+'[2]DICIEMBRE 2016'!$H$164+'[2]DICIEMBRE 2016'!$H$190</f>
        <v>70000000</v>
      </c>
      <c r="CE117" s="24"/>
      <c r="CF117" s="24">
        <f>+'[2]DICIEMBRE 2016'!$H$223+'[2]DICIEMBRE 2016'!$H$226</f>
        <v>110421200</v>
      </c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1"/>
        <v>0.26566220230622606</v>
      </c>
      <c r="CO117" s="24">
        <f t="shared" si="146"/>
        <v>580090258</v>
      </c>
      <c r="CP117" s="24">
        <f t="shared" si="147"/>
        <v>0</v>
      </c>
      <c r="CQ117" s="24">
        <f t="shared" si="147"/>
        <v>578368081</v>
      </c>
      <c r="CR117" s="24">
        <f t="shared" si="147"/>
        <v>0</v>
      </c>
      <c r="CS117" s="24">
        <f t="shared" si="147"/>
        <v>0</v>
      </c>
      <c r="CT117" s="24">
        <f t="shared" si="147"/>
        <v>0</v>
      </c>
      <c r="CU117" s="24">
        <f t="shared" si="147"/>
        <v>0</v>
      </c>
      <c r="CV117" s="24">
        <f t="shared" si="148"/>
        <v>0</v>
      </c>
      <c r="CW117" s="24">
        <f t="shared" si="148"/>
        <v>0</v>
      </c>
      <c r="CX117" s="24">
        <f t="shared" si="148"/>
        <v>0</v>
      </c>
      <c r="CY117" s="24">
        <f t="shared" si="149"/>
        <v>0</v>
      </c>
      <c r="CZ117" s="24">
        <f t="shared" si="149"/>
        <v>0</v>
      </c>
      <c r="DA117" s="24">
        <f t="shared" si="149"/>
        <v>1708800</v>
      </c>
      <c r="DB117" s="24">
        <f t="shared" si="150"/>
        <v>0</v>
      </c>
      <c r="DC117" s="24">
        <f t="shared" si="150"/>
        <v>0</v>
      </c>
      <c r="DD117" s="24">
        <f t="shared" si="150"/>
        <v>0</v>
      </c>
      <c r="DE117" s="24"/>
      <c r="DF117" s="24">
        <f t="shared" si="151"/>
        <v>0</v>
      </c>
      <c r="DG117" s="24">
        <f t="shared" si="151"/>
        <v>0</v>
      </c>
      <c r="DH117" s="24">
        <f t="shared" si="151"/>
        <v>13377</v>
      </c>
    </row>
    <row r="118" spans="1:113" ht="34.5" customHeight="1" x14ac:dyDescent="0.25">
      <c r="A118" s="246"/>
      <c r="B118" s="240"/>
      <c r="C118" s="69" t="s">
        <v>329</v>
      </c>
      <c r="D118" s="95" t="s">
        <v>330</v>
      </c>
      <c r="E118" s="94">
        <v>211</v>
      </c>
      <c r="F118" s="23" t="s">
        <v>324</v>
      </c>
      <c r="G118" s="24">
        <f t="shared" si="138"/>
        <v>231731405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f>130000000-112130000</f>
        <v>17870000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1"/>
        <v>0.93118469203602339</v>
      </c>
      <c r="AB118" s="24">
        <f t="shared" si="139"/>
        <v>215784737</v>
      </c>
      <c r="AC118" s="24"/>
      <c r="AD118" s="24"/>
      <c r="AE118" s="24">
        <f>+'[5]NOVIEMBRE 2016'!$M$212</f>
        <v>183477457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>
        <f>+'[2]DICIEMBRE 2016'!$W$230</f>
        <v>13338840</v>
      </c>
      <c r="AP118" s="24"/>
      <c r="AQ118" s="24"/>
      <c r="AR118" s="24"/>
      <c r="AS118" s="24"/>
      <c r="AT118" s="24"/>
      <c r="AU118" s="24"/>
      <c r="AV118" s="24">
        <f>+'[5]NOVIEMBRE 2016'!$AG$212</f>
        <v>18968440</v>
      </c>
      <c r="AW118" s="25">
        <f t="shared" si="113"/>
        <v>6.8815307963976613E-2</v>
      </c>
      <c r="AX118" s="24">
        <f t="shared" si="140"/>
        <v>15946668</v>
      </c>
      <c r="AY118" s="24">
        <f t="shared" si="141"/>
        <v>0</v>
      </c>
      <c r="AZ118" s="24">
        <f t="shared" si="141"/>
        <v>951560</v>
      </c>
      <c r="BA118" s="24">
        <f t="shared" si="141"/>
        <v>0</v>
      </c>
      <c r="BB118" s="24">
        <f t="shared" si="142"/>
        <v>0</v>
      </c>
      <c r="BC118" s="24">
        <f t="shared" si="142"/>
        <v>0</v>
      </c>
      <c r="BD118" s="24">
        <f t="shared" si="142"/>
        <v>0</v>
      </c>
      <c r="BE118" s="24">
        <f t="shared" si="142"/>
        <v>0</v>
      </c>
      <c r="BF118" s="24">
        <f t="shared" si="142"/>
        <v>0</v>
      </c>
      <c r="BG118" s="24">
        <f t="shared" si="142"/>
        <v>0</v>
      </c>
      <c r="BH118" s="24">
        <f t="shared" si="142"/>
        <v>10432388</v>
      </c>
      <c r="BI118" s="24">
        <f t="shared" si="142"/>
        <v>0</v>
      </c>
      <c r="BJ118" s="24">
        <f t="shared" si="142"/>
        <v>4531160</v>
      </c>
      <c r="BK118" s="24">
        <f t="shared" si="142"/>
        <v>0</v>
      </c>
      <c r="BL118" s="24">
        <f t="shared" si="142"/>
        <v>0</v>
      </c>
      <c r="BM118" s="24">
        <f t="shared" si="142"/>
        <v>0</v>
      </c>
      <c r="BN118" s="24"/>
      <c r="BO118" s="24"/>
      <c r="BP118" s="24">
        <f t="shared" si="143"/>
        <v>0</v>
      </c>
      <c r="BQ118" s="24">
        <f t="shared" si="144"/>
        <v>31560</v>
      </c>
      <c r="BR118" s="25">
        <f t="shared" si="119"/>
        <v>0.93118469203602339</v>
      </c>
      <c r="BS118" s="24">
        <f t="shared" si="145"/>
        <v>215784737</v>
      </c>
      <c r="BT118" s="24"/>
      <c r="BU118" s="24"/>
      <c r="BV118" s="24">
        <f>+'[10]SEPTIEMBRE 2016'!$H$167+'[10]SEPTIEMBRE 2016'!$H$176+'[10]SEPTIEMBRE 2016'!$H$178+'[10]SEPTIEMBRE 2016'!$H$179+'[10]SEPTIEMBRE 2016'!$H$181+'[10]SEPTIEMBRE 2016'!$H$184+'[10]SEPTIEMBRE 2016'!$H$187+'[10]SEPTIEMBRE 2016'!$H$189+'[10]SEPTIEMBRE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>
        <f>+'[2]DICIEMBRE 2016'!$W$230</f>
        <v>13338840</v>
      </c>
      <c r="CG118" s="24"/>
      <c r="CH118" s="24"/>
      <c r="CI118" s="24"/>
      <c r="CJ118" s="24"/>
      <c r="CK118" s="24"/>
      <c r="CL118" s="24"/>
      <c r="CM118" s="24">
        <f>+'[5]NOVIEMBRE 2016'!$AG$212</f>
        <v>18968440</v>
      </c>
      <c r="CN118" s="25">
        <f t="shared" si="121"/>
        <v>6.8815307963976613E-2</v>
      </c>
      <c r="CO118" s="24">
        <f t="shared" si="146"/>
        <v>15946668</v>
      </c>
      <c r="CP118" s="24">
        <f t="shared" si="147"/>
        <v>0</v>
      </c>
      <c r="CQ118" s="24">
        <f t="shared" si="147"/>
        <v>951560</v>
      </c>
      <c r="CR118" s="24">
        <f t="shared" si="147"/>
        <v>0</v>
      </c>
      <c r="CS118" s="24">
        <f t="shared" si="147"/>
        <v>0</v>
      </c>
      <c r="CT118" s="24">
        <f t="shared" si="147"/>
        <v>0</v>
      </c>
      <c r="CU118" s="24">
        <f t="shared" si="147"/>
        <v>0</v>
      </c>
      <c r="CV118" s="24">
        <f t="shared" si="148"/>
        <v>0</v>
      </c>
      <c r="CW118" s="24">
        <f t="shared" si="148"/>
        <v>0</v>
      </c>
      <c r="CX118" s="24">
        <f t="shared" si="148"/>
        <v>0</v>
      </c>
      <c r="CY118" s="24">
        <f t="shared" si="149"/>
        <v>10432388</v>
      </c>
      <c r="CZ118" s="24">
        <f t="shared" si="149"/>
        <v>0</v>
      </c>
      <c r="DA118" s="24">
        <f t="shared" si="149"/>
        <v>4531160</v>
      </c>
      <c r="DB118" s="24">
        <f t="shared" si="150"/>
        <v>0</v>
      </c>
      <c r="DC118" s="24">
        <f t="shared" si="150"/>
        <v>0</v>
      </c>
      <c r="DD118" s="24">
        <f t="shared" si="150"/>
        <v>0</v>
      </c>
      <c r="DE118" s="24"/>
      <c r="DF118" s="24">
        <f t="shared" si="151"/>
        <v>0</v>
      </c>
      <c r="DG118" s="24">
        <f t="shared" si="151"/>
        <v>0</v>
      </c>
      <c r="DH118" s="24">
        <f t="shared" si="151"/>
        <v>31560</v>
      </c>
    </row>
    <row r="119" spans="1:113" s="58" customFormat="1" ht="33" customHeight="1" x14ac:dyDescent="0.25">
      <c r="A119" s="246"/>
      <c r="B119" s="240"/>
      <c r="C119" s="55" t="s">
        <v>331</v>
      </c>
      <c r="D119" s="21" t="s">
        <v>332</v>
      </c>
      <c r="E119" s="89">
        <v>211</v>
      </c>
      <c r="F119" s="23" t="s">
        <v>333</v>
      </c>
      <c r="G119" s="24">
        <f t="shared" si="138"/>
        <v>316552303</v>
      </c>
      <c r="H119" s="28"/>
      <c r="I119" s="54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7">
        <f t="shared" si="111"/>
        <v>0.96365088520616449</v>
      </c>
      <c r="AB119" s="24">
        <f t="shared" si="139"/>
        <v>305045907</v>
      </c>
      <c r="AC119" s="54"/>
      <c r="AD119" s="54"/>
      <c r="AE119" s="54">
        <f>+'[4]DICIEMBRE 2016'!$M$277</f>
        <v>292045907</v>
      </c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>
        <f>+'[10]SEPTIEMBRE 2016'!$AG$202</f>
        <v>13000000</v>
      </c>
      <c r="AW119" s="57">
        <f t="shared" si="113"/>
        <v>3.6349114793835513E-2</v>
      </c>
      <c r="AX119" s="24">
        <f t="shared" si="140"/>
        <v>11506396</v>
      </c>
      <c r="AY119" s="54">
        <f t="shared" si="141"/>
        <v>0</v>
      </c>
      <c r="AZ119" s="54">
        <f t="shared" si="141"/>
        <v>5506396</v>
      </c>
      <c r="BA119" s="54">
        <f t="shared" si="141"/>
        <v>0</v>
      </c>
      <c r="BB119" s="54">
        <f t="shared" si="142"/>
        <v>0</v>
      </c>
      <c r="BC119" s="54">
        <f t="shared" si="142"/>
        <v>0</v>
      </c>
      <c r="BD119" s="24">
        <f t="shared" si="142"/>
        <v>0</v>
      </c>
      <c r="BE119" s="54">
        <f t="shared" si="142"/>
        <v>0</v>
      </c>
      <c r="BF119" s="54">
        <f t="shared" si="142"/>
        <v>0</v>
      </c>
      <c r="BG119" s="54">
        <f t="shared" si="142"/>
        <v>0</v>
      </c>
      <c r="BH119" s="54">
        <f t="shared" si="142"/>
        <v>0</v>
      </c>
      <c r="BI119" s="54">
        <f t="shared" si="142"/>
        <v>0</v>
      </c>
      <c r="BJ119" s="54">
        <f t="shared" si="142"/>
        <v>0</v>
      </c>
      <c r="BK119" s="54">
        <f t="shared" si="142"/>
        <v>0</v>
      </c>
      <c r="BL119" s="54">
        <f t="shared" si="142"/>
        <v>0</v>
      </c>
      <c r="BM119" s="54">
        <f t="shared" si="142"/>
        <v>0</v>
      </c>
      <c r="BN119" s="54"/>
      <c r="BO119" s="54"/>
      <c r="BP119" s="24">
        <f t="shared" si="143"/>
        <v>0</v>
      </c>
      <c r="BQ119" s="54">
        <f t="shared" si="144"/>
        <v>6000000</v>
      </c>
      <c r="BR119" s="57">
        <f t="shared" si="119"/>
        <v>0.96365088520616449</v>
      </c>
      <c r="BS119" s="24">
        <f t="shared" si="145"/>
        <v>305045907</v>
      </c>
      <c r="BT119" s="54"/>
      <c r="BU119" s="54"/>
      <c r="BV119" s="54">
        <f>+'[2]DICIEMBRE 2016'!$H$273+'[2]DICIEMBRE 2016'!$H$275+'[2]DICIEMBRE 2016'!$H$277+'[2]DICIEMBRE 2016'!$H$279</f>
        <v>292045907</v>
      </c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>
        <f>+'[10]SEPTIEMBRE 2016'!$H$209</f>
        <v>13000000</v>
      </c>
      <c r="CN119" s="57">
        <f t="shared" si="121"/>
        <v>3.6349114793835513E-2</v>
      </c>
      <c r="CO119" s="24">
        <f t="shared" si="146"/>
        <v>11506396</v>
      </c>
      <c r="CP119" s="24">
        <f t="shared" si="147"/>
        <v>0</v>
      </c>
      <c r="CQ119" s="54">
        <f t="shared" si="147"/>
        <v>5506396</v>
      </c>
      <c r="CR119" s="54">
        <f t="shared" si="147"/>
        <v>0</v>
      </c>
      <c r="CS119" s="54">
        <f t="shared" si="147"/>
        <v>0</v>
      </c>
      <c r="CT119" s="54">
        <f t="shared" si="147"/>
        <v>0</v>
      </c>
      <c r="CU119" s="24">
        <f t="shared" si="147"/>
        <v>0</v>
      </c>
      <c r="CV119" s="54">
        <f t="shared" si="148"/>
        <v>0</v>
      </c>
      <c r="CW119" s="54">
        <f t="shared" si="148"/>
        <v>0</v>
      </c>
      <c r="CX119" s="24">
        <f t="shared" si="148"/>
        <v>0</v>
      </c>
      <c r="CY119" s="54">
        <f t="shared" si="149"/>
        <v>0</v>
      </c>
      <c r="CZ119" s="54">
        <f t="shared" si="149"/>
        <v>0</v>
      </c>
      <c r="DA119" s="54">
        <f t="shared" si="149"/>
        <v>0</v>
      </c>
      <c r="DB119" s="54">
        <f t="shared" si="150"/>
        <v>0</v>
      </c>
      <c r="DC119" s="54">
        <f t="shared" si="150"/>
        <v>0</v>
      </c>
      <c r="DD119" s="54">
        <f t="shared" si="150"/>
        <v>0</v>
      </c>
      <c r="DE119" s="54"/>
      <c r="DF119" s="54">
        <f t="shared" si="151"/>
        <v>0</v>
      </c>
      <c r="DG119" s="54">
        <f t="shared" si="151"/>
        <v>0</v>
      </c>
      <c r="DH119" s="54">
        <f t="shared" si="151"/>
        <v>6000000</v>
      </c>
    </row>
    <row r="120" spans="1:113" ht="95.25" customHeight="1" x14ac:dyDescent="0.25">
      <c r="A120" s="246"/>
      <c r="B120" s="240"/>
      <c r="C120" s="69" t="s">
        <v>334</v>
      </c>
      <c r="D120" s="21" t="s">
        <v>335</v>
      </c>
      <c r="E120" s="94">
        <v>211</v>
      </c>
      <c r="F120" s="23" t="s">
        <v>336</v>
      </c>
      <c r="G120" s="24">
        <f t="shared" si="138"/>
        <v>487777768</v>
      </c>
      <c r="H120" s="33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105607498+8000000+9000000-4000000+8000000-30000000+9956624+26213646+40000000</f>
        <v>172777768</v>
      </c>
      <c r="AA120" s="25">
        <f t="shared" si="111"/>
        <v>0.66491124909161503</v>
      </c>
      <c r="AB120" s="24">
        <f t="shared" si="139"/>
        <v>324328925</v>
      </c>
      <c r="AC120" s="24"/>
      <c r="AD120" s="24"/>
      <c r="AE120" s="24">
        <f>+'[4]DICIEMBRE 2016'!$M$293</f>
        <v>162699460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+'[4]DICIEMBRE 2016'!$AG$293</f>
        <v>146629465</v>
      </c>
      <c r="AW120" s="25">
        <f t="shared" si="113"/>
        <v>0.33508875090838497</v>
      </c>
      <c r="AX120" s="24">
        <f t="shared" si="140"/>
        <v>163448843</v>
      </c>
      <c r="AY120" s="24">
        <f t="shared" si="141"/>
        <v>0</v>
      </c>
      <c r="AZ120" s="24">
        <f t="shared" si="141"/>
        <v>137300540</v>
      </c>
      <c r="BA120" s="24">
        <f t="shared" si="141"/>
        <v>0</v>
      </c>
      <c r="BB120" s="24">
        <f t="shared" si="142"/>
        <v>0</v>
      </c>
      <c r="BC120" s="24">
        <f t="shared" si="142"/>
        <v>0</v>
      </c>
      <c r="BD120" s="24">
        <f t="shared" si="142"/>
        <v>0</v>
      </c>
      <c r="BE120" s="24">
        <f t="shared" si="142"/>
        <v>0</v>
      </c>
      <c r="BF120" s="24">
        <f t="shared" si="142"/>
        <v>0</v>
      </c>
      <c r="BG120" s="24">
        <f t="shared" si="142"/>
        <v>0</v>
      </c>
      <c r="BH120" s="24">
        <f t="shared" si="142"/>
        <v>0</v>
      </c>
      <c r="BI120" s="24">
        <f t="shared" si="142"/>
        <v>0</v>
      </c>
      <c r="BJ120" s="24">
        <f t="shared" si="142"/>
        <v>0</v>
      </c>
      <c r="BK120" s="24">
        <f t="shared" si="142"/>
        <v>0</v>
      </c>
      <c r="BL120" s="24">
        <f t="shared" si="142"/>
        <v>0</v>
      </c>
      <c r="BM120" s="24">
        <f t="shared" si="142"/>
        <v>0</v>
      </c>
      <c r="BN120" s="24"/>
      <c r="BO120" s="24"/>
      <c r="BP120" s="24">
        <f t="shared" si="143"/>
        <v>0</v>
      </c>
      <c r="BQ120" s="24">
        <f t="shared" si="144"/>
        <v>26148303</v>
      </c>
      <c r="BR120" s="25">
        <f t="shared" si="119"/>
        <v>0.66491124909161503</v>
      </c>
      <c r="BS120" s="24">
        <f t="shared" si="145"/>
        <v>324328925</v>
      </c>
      <c r="BT120" s="24"/>
      <c r="BU120" s="24"/>
      <c r="BV120" s="24">
        <f>+'[2]DICIEMBRE 2016'!$H$291+'[2]DICIEMBRE 2016'!$H$293+'[2]DICIEMBRE 2016'!$H$299+'[2]DICIEMBRE 2016'!$H$301+'[2]DICIEMBRE 2016'!$H$303+'[2]DICIEMBRE 2016'!$H$316</f>
        <v>162699460</v>
      </c>
      <c r="BW120" s="24"/>
      <c r="BX120" s="24"/>
      <c r="BY120" s="24"/>
      <c r="BZ120" s="24"/>
      <c r="CA120" s="24"/>
      <c r="CB120" s="24"/>
      <c r="CC120" s="24"/>
      <c r="CD120" s="24">
        <f>+'[12]MARZO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+'[2]DICIEMBRE 2016'!$H$295+'[2]DICIEMBRE 2016'!$H$297+'[2]DICIEMBRE 2016'!$H$305+'[2]DICIEMBRE 2016'!$H$307+'[2]DICIEMBRE 2016'!$H$309+'[2]DICIEMBRE 2016'!$H$310+'[2]DICIEMBRE 2016'!$H$311+'[2]DICIEMBRE 2016'!$H$312+'[2]DICIEMBRE 2016'!$H$313+'[2]DICIEMBRE 2016'!$H$314+'[2]DICIEMBRE 2016'!$H$318+'[2]DICIEMBRE 2016'!$H$320+'[2]DICIEMBRE 2016'!$H$322+'[2]DICIEMBRE 2016'!$H$324+'[2]DICIEMBRE 2016'!$H$326+'[2]DICIEMBRE 2016'!$H$328+'[2]DICIEMBRE 2016'!$H$331+'[2]DICIEMBRE 2016'!$H$334+'[2]DICIEMBRE 2016'!$H$336+'[2]DICIEMBRE 2016'!$H$338+'[2]DICIEMBRE 2016'!$H$340+'[2]DICIEMBRE 2016'!$H$342</f>
        <v>146629465</v>
      </c>
      <c r="CN120" s="25">
        <f t="shared" si="121"/>
        <v>0.33508875090838497</v>
      </c>
      <c r="CO120" s="24">
        <f t="shared" si="146"/>
        <v>163448843</v>
      </c>
      <c r="CP120" s="24">
        <f t="shared" si="147"/>
        <v>0</v>
      </c>
      <c r="CQ120" s="24">
        <f t="shared" si="147"/>
        <v>137300540</v>
      </c>
      <c r="CR120" s="24">
        <f t="shared" si="147"/>
        <v>0</v>
      </c>
      <c r="CS120" s="24">
        <f t="shared" si="147"/>
        <v>0</v>
      </c>
      <c r="CT120" s="24">
        <f t="shared" si="147"/>
        <v>0</v>
      </c>
      <c r="CU120" s="24">
        <f t="shared" si="147"/>
        <v>0</v>
      </c>
      <c r="CV120" s="24">
        <f t="shared" si="148"/>
        <v>0</v>
      </c>
      <c r="CW120" s="24">
        <f t="shared" si="148"/>
        <v>0</v>
      </c>
      <c r="CX120" s="24">
        <f t="shared" si="148"/>
        <v>0</v>
      </c>
      <c r="CY120" s="24">
        <f t="shared" si="149"/>
        <v>0</v>
      </c>
      <c r="CZ120" s="24">
        <f t="shared" si="149"/>
        <v>0</v>
      </c>
      <c r="DA120" s="24">
        <f t="shared" si="149"/>
        <v>0</v>
      </c>
      <c r="DB120" s="24">
        <f t="shared" si="150"/>
        <v>0</v>
      </c>
      <c r="DC120" s="24">
        <f t="shared" si="150"/>
        <v>0</v>
      </c>
      <c r="DD120" s="24">
        <f t="shared" si="150"/>
        <v>0</v>
      </c>
      <c r="DE120" s="24"/>
      <c r="DF120" s="24">
        <f t="shared" si="151"/>
        <v>0</v>
      </c>
      <c r="DG120" s="24">
        <f t="shared" si="151"/>
        <v>0</v>
      </c>
      <c r="DH120" s="24">
        <f t="shared" si="151"/>
        <v>26148303</v>
      </c>
    </row>
    <row r="121" spans="1:113" ht="91.5" customHeight="1" x14ac:dyDescent="0.25">
      <c r="A121" s="246"/>
      <c r="B121" s="240"/>
      <c r="C121" s="69" t="s">
        <v>337</v>
      </c>
      <c r="D121" s="21" t="s">
        <v>338</v>
      </c>
      <c r="E121" s="94">
        <v>211</v>
      </c>
      <c r="F121" s="23" t="s">
        <v>336</v>
      </c>
      <c r="G121" s="24">
        <f t="shared" si="138"/>
        <v>215639414</v>
      </c>
      <c r="H121" s="33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1"/>
        <v>0.7896914429567129</v>
      </c>
      <c r="AB121" s="24">
        <f t="shared" si="139"/>
        <v>170288600</v>
      </c>
      <c r="AC121" s="24"/>
      <c r="AD121" s="24"/>
      <c r="AE121" s="24">
        <f>+'[5]NOVIEMBRE 2016'!$M$323</f>
        <v>128440000</v>
      </c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+'[2]DICIEMBRE 2016'!$AG$349</f>
        <v>41848600</v>
      </c>
      <c r="AW121" s="25">
        <f t="shared" si="113"/>
        <v>0.2103085570432871</v>
      </c>
      <c r="AX121" s="24">
        <f t="shared" si="140"/>
        <v>45350814</v>
      </c>
      <c r="AY121" s="24">
        <f t="shared" si="141"/>
        <v>0</v>
      </c>
      <c r="AZ121" s="24">
        <f t="shared" si="141"/>
        <v>6028</v>
      </c>
      <c r="BA121" s="24">
        <f t="shared" si="141"/>
        <v>0</v>
      </c>
      <c r="BB121" s="24">
        <f t="shared" si="142"/>
        <v>0</v>
      </c>
      <c r="BC121" s="24">
        <f t="shared" si="142"/>
        <v>0</v>
      </c>
      <c r="BD121" s="24">
        <f t="shared" si="142"/>
        <v>0</v>
      </c>
      <c r="BE121" s="24">
        <f t="shared" si="142"/>
        <v>0</v>
      </c>
      <c r="BF121" s="24">
        <f t="shared" si="142"/>
        <v>0</v>
      </c>
      <c r="BG121" s="24">
        <f t="shared" si="142"/>
        <v>0</v>
      </c>
      <c r="BH121" s="24">
        <f t="shared" si="142"/>
        <v>0</v>
      </c>
      <c r="BI121" s="24">
        <f t="shared" si="142"/>
        <v>0</v>
      </c>
      <c r="BJ121" s="24">
        <f t="shared" si="142"/>
        <v>0</v>
      </c>
      <c r="BK121" s="24">
        <f t="shared" si="142"/>
        <v>0</v>
      </c>
      <c r="BL121" s="24">
        <f t="shared" si="142"/>
        <v>0</v>
      </c>
      <c r="BM121" s="24">
        <f t="shared" si="142"/>
        <v>0</v>
      </c>
      <c r="BN121" s="24"/>
      <c r="BO121" s="24"/>
      <c r="BP121" s="24">
        <f t="shared" si="143"/>
        <v>0</v>
      </c>
      <c r="BQ121" s="24">
        <f t="shared" si="144"/>
        <v>45344786</v>
      </c>
      <c r="BR121" s="25">
        <f t="shared" si="119"/>
        <v>0.7896914429567129</v>
      </c>
      <c r="BS121" s="24">
        <f t="shared" si="145"/>
        <v>170288600</v>
      </c>
      <c r="BT121" s="24"/>
      <c r="BU121" s="24"/>
      <c r="BV121" s="24">
        <f>+'[2]DICIEMBRE 2016'!$M$349</f>
        <v>128440000</v>
      </c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+'[2]DICIEMBRE 2016'!$H$350+'[2]DICIEMBRE 2016'!$H$352+'[2]DICIEMBRE 2016'!$H$353+'[2]DICIEMBRE 2016'!$H$356+'[2]DICIEMBRE 2016'!$H$360+'[2]DICIEMBRE 2016'!$H$362+'[2]DICIEMBRE 2016'!$H$363+'[2]DICIEMBRE 2016'!$H$365+'[2]DICIEMBRE 2016'!$H$367+'[2]DICIEMBRE 2016'!$H$369</f>
        <v>41848600</v>
      </c>
      <c r="CN121" s="25">
        <f t="shared" si="121"/>
        <v>0.2103085570432871</v>
      </c>
      <c r="CO121" s="24">
        <f t="shared" si="146"/>
        <v>45350814</v>
      </c>
      <c r="CP121" s="24">
        <f t="shared" si="147"/>
        <v>0</v>
      </c>
      <c r="CQ121" s="24">
        <f t="shared" si="147"/>
        <v>6028</v>
      </c>
      <c r="CR121" s="24">
        <f t="shared" si="147"/>
        <v>0</v>
      </c>
      <c r="CS121" s="24">
        <f t="shared" si="147"/>
        <v>0</v>
      </c>
      <c r="CT121" s="24">
        <f t="shared" si="147"/>
        <v>0</v>
      </c>
      <c r="CU121" s="24">
        <f t="shared" si="147"/>
        <v>0</v>
      </c>
      <c r="CV121" s="24">
        <f t="shared" si="148"/>
        <v>0</v>
      </c>
      <c r="CW121" s="24">
        <f t="shared" si="148"/>
        <v>0</v>
      </c>
      <c r="CX121" s="24">
        <f t="shared" si="148"/>
        <v>0</v>
      </c>
      <c r="CY121" s="24">
        <f t="shared" si="149"/>
        <v>0</v>
      </c>
      <c r="CZ121" s="24">
        <f t="shared" si="149"/>
        <v>0</v>
      </c>
      <c r="DA121" s="24">
        <f t="shared" si="149"/>
        <v>0</v>
      </c>
      <c r="DB121" s="24">
        <f t="shared" si="150"/>
        <v>0</v>
      </c>
      <c r="DC121" s="24">
        <f t="shared" si="150"/>
        <v>0</v>
      </c>
      <c r="DD121" s="24">
        <f t="shared" si="150"/>
        <v>0</v>
      </c>
      <c r="DE121" s="24"/>
      <c r="DF121" s="24">
        <f t="shared" si="151"/>
        <v>0</v>
      </c>
      <c r="DG121" s="24">
        <f t="shared" si="151"/>
        <v>0</v>
      </c>
      <c r="DH121" s="24">
        <f t="shared" si="151"/>
        <v>45344786</v>
      </c>
    </row>
    <row r="122" spans="1:113" ht="44.25" customHeight="1" x14ac:dyDescent="0.25">
      <c r="A122" s="246"/>
      <c r="B122" s="240"/>
      <c r="C122" s="69" t="s">
        <v>339</v>
      </c>
      <c r="D122" s="21" t="s">
        <v>340</v>
      </c>
      <c r="E122" s="94">
        <v>211</v>
      </c>
      <c r="F122" s="23" t="s">
        <v>341</v>
      </c>
      <c r="G122" s="24">
        <f t="shared" si="138"/>
        <v>11000000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1"/>
        <v>0.99131081818181821</v>
      </c>
      <c r="AB122" s="24">
        <f t="shared" si="139"/>
        <v>10904419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+'[4]DICIEMBRE 2016'!$AG$380</f>
        <v>10904419</v>
      </c>
      <c r="AW122" s="25">
        <f t="shared" si="113"/>
        <v>8.6891818181817904E-3</v>
      </c>
      <c r="AX122" s="24">
        <f t="shared" si="140"/>
        <v>95581</v>
      </c>
      <c r="AY122" s="24">
        <f t="shared" si="141"/>
        <v>0</v>
      </c>
      <c r="AZ122" s="24">
        <f t="shared" si="141"/>
        <v>0</v>
      </c>
      <c r="BA122" s="24">
        <f t="shared" si="141"/>
        <v>0</v>
      </c>
      <c r="BB122" s="24">
        <f t="shared" si="142"/>
        <v>0</v>
      </c>
      <c r="BC122" s="24">
        <f t="shared" si="142"/>
        <v>0</v>
      </c>
      <c r="BD122" s="24">
        <f t="shared" si="142"/>
        <v>0</v>
      </c>
      <c r="BE122" s="24">
        <f t="shared" si="142"/>
        <v>0</v>
      </c>
      <c r="BF122" s="24">
        <f t="shared" si="142"/>
        <v>0</v>
      </c>
      <c r="BG122" s="24">
        <f t="shared" si="142"/>
        <v>0</v>
      </c>
      <c r="BH122" s="24">
        <f t="shared" si="142"/>
        <v>0</v>
      </c>
      <c r="BI122" s="24">
        <f t="shared" si="142"/>
        <v>0</v>
      </c>
      <c r="BJ122" s="24">
        <f t="shared" si="142"/>
        <v>0</v>
      </c>
      <c r="BK122" s="24">
        <f t="shared" si="142"/>
        <v>0</v>
      </c>
      <c r="BL122" s="24">
        <f t="shared" si="142"/>
        <v>0</v>
      </c>
      <c r="BM122" s="24">
        <f t="shared" si="142"/>
        <v>0</v>
      </c>
      <c r="BN122" s="24"/>
      <c r="BO122" s="24"/>
      <c r="BP122" s="24">
        <f t="shared" si="143"/>
        <v>0</v>
      </c>
      <c r="BQ122" s="24">
        <f t="shared" si="144"/>
        <v>95581</v>
      </c>
      <c r="BR122" s="25">
        <f t="shared" si="119"/>
        <v>0.99131081818181821</v>
      </c>
      <c r="BS122" s="24">
        <f t="shared" si="145"/>
        <v>10904419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+'[4]DICIEMBRE 2016'!$AG$380</f>
        <v>10904419</v>
      </c>
      <c r="CN122" s="25">
        <f t="shared" si="121"/>
        <v>8.6891818181817904E-3</v>
      </c>
      <c r="CO122" s="24">
        <f t="shared" si="146"/>
        <v>95581</v>
      </c>
      <c r="CP122" s="24">
        <f t="shared" si="147"/>
        <v>0</v>
      </c>
      <c r="CQ122" s="24">
        <f t="shared" si="147"/>
        <v>0</v>
      </c>
      <c r="CR122" s="24">
        <f t="shared" si="147"/>
        <v>0</v>
      </c>
      <c r="CS122" s="24">
        <f t="shared" si="147"/>
        <v>0</v>
      </c>
      <c r="CT122" s="24">
        <f t="shared" si="147"/>
        <v>0</v>
      </c>
      <c r="CU122" s="24">
        <f t="shared" si="147"/>
        <v>0</v>
      </c>
      <c r="CV122" s="24">
        <f t="shared" si="148"/>
        <v>0</v>
      </c>
      <c r="CW122" s="24">
        <f t="shared" si="148"/>
        <v>0</v>
      </c>
      <c r="CX122" s="24">
        <f t="shared" si="148"/>
        <v>0</v>
      </c>
      <c r="CY122" s="24">
        <f t="shared" si="149"/>
        <v>0</v>
      </c>
      <c r="CZ122" s="24">
        <f t="shared" si="149"/>
        <v>0</v>
      </c>
      <c r="DA122" s="24">
        <f t="shared" si="149"/>
        <v>0</v>
      </c>
      <c r="DB122" s="24">
        <f t="shared" si="150"/>
        <v>0</v>
      </c>
      <c r="DC122" s="24">
        <f t="shared" si="150"/>
        <v>0</v>
      </c>
      <c r="DD122" s="24">
        <f t="shared" si="150"/>
        <v>0</v>
      </c>
      <c r="DE122" s="24"/>
      <c r="DF122" s="24">
        <f t="shared" si="151"/>
        <v>0</v>
      </c>
      <c r="DG122" s="24">
        <f t="shared" si="151"/>
        <v>0</v>
      </c>
      <c r="DH122" s="24">
        <f t="shared" si="151"/>
        <v>95581</v>
      </c>
    </row>
    <row r="123" spans="1:113" ht="21.75" customHeight="1" x14ac:dyDescent="0.25">
      <c r="A123" s="246"/>
      <c r="B123" s="240"/>
      <c r="C123" s="69" t="s">
        <v>342</v>
      </c>
      <c r="D123" s="21" t="s">
        <v>343</v>
      </c>
      <c r="E123" s="94">
        <v>211</v>
      </c>
      <c r="F123" s="23" t="s">
        <v>76</v>
      </c>
      <c r="G123" s="24">
        <f t="shared" si="138"/>
        <v>5846336</v>
      </c>
      <c r="H123" s="33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1"/>
        <v>0.72683899796385287</v>
      </c>
      <c r="AB123" s="24">
        <f t="shared" si="139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+'[10]SEPTIEMBRE 2016'!$G$284</f>
        <v>4249345</v>
      </c>
      <c r="AW123" s="25">
        <f t="shared" si="113"/>
        <v>0.27316100203614713</v>
      </c>
      <c r="AX123" s="24">
        <f t="shared" si="140"/>
        <v>1596991</v>
      </c>
      <c r="AY123" s="24">
        <f t="shared" si="141"/>
        <v>0</v>
      </c>
      <c r="AZ123" s="24">
        <f t="shared" si="141"/>
        <v>0</v>
      </c>
      <c r="BA123" s="24">
        <f t="shared" si="141"/>
        <v>0</v>
      </c>
      <c r="BB123" s="24">
        <f t="shared" si="142"/>
        <v>0</v>
      </c>
      <c r="BC123" s="24">
        <f t="shared" si="142"/>
        <v>0</v>
      </c>
      <c r="BD123" s="24">
        <f t="shared" si="142"/>
        <v>0</v>
      </c>
      <c r="BE123" s="24">
        <f t="shared" si="142"/>
        <v>0</v>
      </c>
      <c r="BF123" s="24">
        <f t="shared" si="142"/>
        <v>0</v>
      </c>
      <c r="BG123" s="24">
        <f t="shared" si="142"/>
        <v>0</v>
      </c>
      <c r="BH123" s="24">
        <f t="shared" si="142"/>
        <v>0</v>
      </c>
      <c r="BI123" s="24">
        <f t="shared" si="142"/>
        <v>0</v>
      </c>
      <c r="BJ123" s="24">
        <f t="shared" si="142"/>
        <v>0</v>
      </c>
      <c r="BK123" s="24">
        <f t="shared" si="142"/>
        <v>0</v>
      </c>
      <c r="BL123" s="24">
        <f t="shared" si="142"/>
        <v>0</v>
      </c>
      <c r="BM123" s="24">
        <f t="shared" si="142"/>
        <v>0</v>
      </c>
      <c r="BN123" s="24"/>
      <c r="BO123" s="24"/>
      <c r="BP123" s="24">
        <f t="shared" si="143"/>
        <v>0</v>
      </c>
      <c r="BQ123" s="24">
        <f t="shared" si="144"/>
        <v>1596991</v>
      </c>
      <c r="BR123" s="25">
        <f t="shared" si="119"/>
        <v>0.72683899796385287</v>
      </c>
      <c r="BS123" s="24">
        <f t="shared" si="145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+'[10]SEPTIEMBRE 2016'!$H$284</f>
        <v>4249345</v>
      </c>
      <c r="CN123" s="25">
        <f t="shared" si="121"/>
        <v>0.27316100203614713</v>
      </c>
      <c r="CO123" s="24">
        <f t="shared" si="146"/>
        <v>1596991</v>
      </c>
      <c r="CP123" s="24">
        <f t="shared" si="147"/>
        <v>0</v>
      </c>
      <c r="CQ123" s="24">
        <f t="shared" si="147"/>
        <v>0</v>
      </c>
      <c r="CR123" s="24">
        <f t="shared" si="147"/>
        <v>0</v>
      </c>
      <c r="CS123" s="24">
        <f t="shared" si="147"/>
        <v>0</v>
      </c>
      <c r="CT123" s="24">
        <f t="shared" si="147"/>
        <v>0</v>
      </c>
      <c r="CU123" s="24">
        <f t="shared" si="147"/>
        <v>0</v>
      </c>
      <c r="CV123" s="24">
        <f t="shared" si="148"/>
        <v>0</v>
      </c>
      <c r="CW123" s="24">
        <f t="shared" si="148"/>
        <v>0</v>
      </c>
      <c r="CX123" s="24">
        <f t="shared" si="148"/>
        <v>0</v>
      </c>
      <c r="CY123" s="24">
        <f t="shared" si="149"/>
        <v>0</v>
      </c>
      <c r="CZ123" s="24">
        <f t="shared" si="149"/>
        <v>0</v>
      </c>
      <c r="DA123" s="24">
        <f t="shared" si="149"/>
        <v>0</v>
      </c>
      <c r="DB123" s="24">
        <f t="shared" si="150"/>
        <v>0</v>
      </c>
      <c r="DC123" s="24">
        <f t="shared" si="150"/>
        <v>0</v>
      </c>
      <c r="DD123" s="24">
        <f t="shared" si="150"/>
        <v>0</v>
      </c>
      <c r="DE123" s="24"/>
      <c r="DF123" s="24">
        <f t="shared" si="151"/>
        <v>0</v>
      </c>
      <c r="DG123" s="24">
        <f t="shared" si="151"/>
        <v>0</v>
      </c>
      <c r="DH123" s="24">
        <f t="shared" si="151"/>
        <v>1596991</v>
      </c>
    </row>
    <row r="124" spans="1:113" s="58" customFormat="1" ht="20.25" customHeight="1" x14ac:dyDescent="0.25">
      <c r="A124" s="246"/>
      <c r="B124" s="240"/>
      <c r="C124" s="55" t="s">
        <v>344</v>
      </c>
      <c r="D124" s="21" t="s">
        <v>345</v>
      </c>
      <c r="E124" s="89">
        <v>211</v>
      </c>
      <c r="F124" s="23" t="s">
        <v>324</v>
      </c>
      <c r="G124" s="24">
        <f t="shared" si="138"/>
        <v>325200000</v>
      </c>
      <c r="H124" s="28"/>
      <c r="I124" s="54">
        <f>296464791+28735209-68986271+68986271</f>
        <v>325200000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7">
        <f t="shared" si="111"/>
        <v>0.99969555043050429</v>
      </c>
      <c r="AB124" s="24">
        <f t="shared" si="139"/>
        <v>325100993</v>
      </c>
      <c r="AC124" s="54"/>
      <c r="AD124" s="54"/>
      <c r="AE124" s="54">
        <f>+'[2]DICIEMBRE 2016'!$M$399</f>
        <v>325100993</v>
      </c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7">
        <f t="shared" si="113"/>
        <v>3.0444956949571278E-4</v>
      </c>
      <c r="AX124" s="24">
        <f t="shared" si="140"/>
        <v>99007</v>
      </c>
      <c r="AY124" s="54">
        <f t="shared" si="141"/>
        <v>0</v>
      </c>
      <c r="AZ124" s="54">
        <f t="shared" si="141"/>
        <v>99007</v>
      </c>
      <c r="BA124" s="54">
        <f t="shared" si="141"/>
        <v>0</v>
      </c>
      <c r="BB124" s="54">
        <f t="shared" si="142"/>
        <v>0</v>
      </c>
      <c r="BC124" s="54">
        <f t="shared" si="142"/>
        <v>0</v>
      </c>
      <c r="BD124" s="24">
        <f t="shared" si="142"/>
        <v>0</v>
      </c>
      <c r="BE124" s="54">
        <f t="shared" si="142"/>
        <v>0</v>
      </c>
      <c r="BF124" s="54">
        <f t="shared" si="142"/>
        <v>0</v>
      </c>
      <c r="BG124" s="54">
        <f t="shared" si="142"/>
        <v>0</v>
      </c>
      <c r="BH124" s="54">
        <f t="shared" si="142"/>
        <v>0</v>
      </c>
      <c r="BI124" s="54">
        <f t="shared" si="142"/>
        <v>0</v>
      </c>
      <c r="BJ124" s="54">
        <f t="shared" si="142"/>
        <v>0</v>
      </c>
      <c r="BK124" s="54">
        <f t="shared" si="142"/>
        <v>0</v>
      </c>
      <c r="BL124" s="54">
        <f t="shared" si="142"/>
        <v>0</v>
      </c>
      <c r="BM124" s="54">
        <f t="shared" si="142"/>
        <v>0</v>
      </c>
      <c r="BN124" s="54"/>
      <c r="BO124" s="54"/>
      <c r="BP124" s="24">
        <f t="shared" si="143"/>
        <v>0</v>
      </c>
      <c r="BQ124" s="54">
        <f t="shared" si="144"/>
        <v>0</v>
      </c>
      <c r="BR124" s="57">
        <f t="shared" si="119"/>
        <v>0.99969555043050429</v>
      </c>
      <c r="BS124" s="24">
        <f t="shared" si="145"/>
        <v>325100993</v>
      </c>
      <c r="BT124" s="54"/>
      <c r="BU124" s="54"/>
      <c r="BV124" s="54">
        <f>+'[1]OCTUBRE 2016'!$H$326</f>
        <v>325100993</v>
      </c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7">
        <f t="shared" si="121"/>
        <v>3.0444956949571278E-4</v>
      </c>
      <c r="CO124" s="24">
        <f t="shared" si="146"/>
        <v>99007</v>
      </c>
      <c r="CP124" s="24">
        <f t="shared" si="147"/>
        <v>0</v>
      </c>
      <c r="CQ124" s="54">
        <f t="shared" si="147"/>
        <v>99007</v>
      </c>
      <c r="CR124" s="54">
        <f t="shared" si="147"/>
        <v>0</v>
      </c>
      <c r="CS124" s="54">
        <f t="shared" si="147"/>
        <v>0</v>
      </c>
      <c r="CT124" s="54">
        <f t="shared" si="147"/>
        <v>0</v>
      </c>
      <c r="CU124" s="24">
        <f t="shared" si="147"/>
        <v>0</v>
      </c>
      <c r="CV124" s="54">
        <f t="shared" si="148"/>
        <v>0</v>
      </c>
      <c r="CW124" s="54">
        <f t="shared" si="148"/>
        <v>0</v>
      </c>
      <c r="CX124" s="24">
        <f t="shared" si="148"/>
        <v>0</v>
      </c>
      <c r="CY124" s="54">
        <f t="shared" si="149"/>
        <v>0</v>
      </c>
      <c r="CZ124" s="54">
        <f t="shared" si="149"/>
        <v>0</v>
      </c>
      <c r="DA124" s="54">
        <f t="shared" si="149"/>
        <v>0</v>
      </c>
      <c r="DB124" s="54">
        <f t="shared" si="150"/>
        <v>0</v>
      </c>
      <c r="DC124" s="54">
        <f t="shared" si="150"/>
        <v>0</v>
      </c>
      <c r="DD124" s="54">
        <f t="shared" si="150"/>
        <v>0</v>
      </c>
      <c r="DE124" s="54"/>
      <c r="DF124" s="54">
        <f t="shared" si="151"/>
        <v>0</v>
      </c>
      <c r="DG124" s="54">
        <f t="shared" si="151"/>
        <v>0</v>
      </c>
      <c r="DH124" s="54">
        <f t="shared" si="151"/>
        <v>0</v>
      </c>
    </row>
    <row r="125" spans="1:113" s="58" customFormat="1" ht="21.75" customHeight="1" x14ac:dyDescent="0.25">
      <c r="A125" s="246"/>
      <c r="B125" s="241"/>
      <c r="C125" s="55" t="s">
        <v>346</v>
      </c>
      <c r="D125" s="21" t="s">
        <v>347</v>
      </c>
      <c r="E125" s="89">
        <v>211</v>
      </c>
      <c r="F125" s="23" t="s">
        <v>324</v>
      </c>
      <c r="G125" s="24">
        <f t="shared" si="138"/>
        <v>250000000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7">
        <f t="shared" si="111"/>
        <v>0.99872130800000003</v>
      </c>
      <c r="AB125" s="24">
        <f t="shared" si="139"/>
        <v>249680327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>
        <f>+'[5]NOVIEMBRE 2016'!$W$389</f>
        <v>249680327</v>
      </c>
      <c r="AP125" s="54"/>
      <c r="AQ125" s="54"/>
      <c r="AR125" s="54"/>
      <c r="AS125" s="54"/>
      <c r="AT125" s="54"/>
      <c r="AU125" s="54"/>
      <c r="AV125" s="54"/>
      <c r="AW125" s="57">
        <f t="shared" si="113"/>
        <v>1.2786919999999702E-3</v>
      </c>
      <c r="AX125" s="24">
        <f t="shared" si="140"/>
        <v>319673</v>
      </c>
      <c r="AY125" s="54">
        <f t="shared" si="141"/>
        <v>0</v>
      </c>
      <c r="AZ125" s="54">
        <f t="shared" si="141"/>
        <v>0</v>
      </c>
      <c r="BA125" s="54">
        <f t="shared" si="141"/>
        <v>0</v>
      </c>
      <c r="BB125" s="54">
        <f t="shared" si="141"/>
        <v>0</v>
      </c>
      <c r="BC125" s="54">
        <f t="shared" si="141"/>
        <v>0</v>
      </c>
      <c r="BD125" s="54">
        <f t="shared" si="141"/>
        <v>0</v>
      </c>
      <c r="BE125" s="54">
        <f t="shared" si="141"/>
        <v>0</v>
      </c>
      <c r="BF125" s="54">
        <f t="shared" si="141"/>
        <v>0</v>
      </c>
      <c r="BG125" s="54">
        <f t="shared" si="141"/>
        <v>0</v>
      </c>
      <c r="BH125" s="54">
        <f t="shared" si="141"/>
        <v>0</v>
      </c>
      <c r="BI125" s="54">
        <f t="shared" si="141"/>
        <v>0</v>
      </c>
      <c r="BJ125" s="54">
        <f t="shared" si="141"/>
        <v>319673</v>
      </c>
      <c r="BK125" s="54">
        <f t="shared" si="141"/>
        <v>0</v>
      </c>
      <c r="BL125" s="54">
        <f t="shared" si="141"/>
        <v>0</v>
      </c>
      <c r="BM125" s="54">
        <f t="shared" si="141"/>
        <v>0</v>
      </c>
      <c r="BN125" s="54"/>
      <c r="BO125" s="54">
        <f>X125-AT125</f>
        <v>0</v>
      </c>
      <c r="BP125" s="24">
        <f t="shared" si="143"/>
        <v>0</v>
      </c>
      <c r="BQ125" s="54">
        <f>Z125-AV125</f>
        <v>0</v>
      </c>
      <c r="BR125" s="57">
        <f t="shared" si="119"/>
        <v>0.99872130800000003</v>
      </c>
      <c r="BS125" s="24">
        <f t="shared" si="145"/>
        <v>249680327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>
        <f>+'[8]JULIO 2016'!$H$221</f>
        <v>249680327</v>
      </c>
      <c r="CG125" s="54"/>
      <c r="CH125" s="54"/>
      <c r="CI125" s="54"/>
      <c r="CJ125" s="54"/>
      <c r="CK125" s="54"/>
      <c r="CL125" s="54"/>
      <c r="CM125" s="54"/>
      <c r="CN125" s="57">
        <f t="shared" si="121"/>
        <v>1.2786919999999702E-3</v>
      </c>
      <c r="CO125" s="24">
        <f t="shared" si="146"/>
        <v>319673</v>
      </c>
      <c r="CP125" s="24">
        <f t="shared" si="147"/>
        <v>0</v>
      </c>
      <c r="CQ125" s="24">
        <f t="shared" si="147"/>
        <v>0</v>
      </c>
      <c r="CR125" s="24">
        <f t="shared" si="147"/>
        <v>0</v>
      </c>
      <c r="CS125" s="24">
        <f t="shared" si="147"/>
        <v>0</v>
      </c>
      <c r="CT125" s="24">
        <f t="shared" si="147"/>
        <v>0</v>
      </c>
      <c r="CU125" s="24">
        <f t="shared" si="147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49"/>
        <v>0</v>
      </c>
      <c r="CZ125" s="24">
        <f t="shared" si="149"/>
        <v>0</v>
      </c>
      <c r="DA125" s="24">
        <f t="shared" si="149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</row>
    <row r="126" spans="1:113" s="58" customFormat="1" ht="50.25" customHeight="1" x14ac:dyDescent="0.25">
      <c r="A126" s="96"/>
      <c r="B126" s="21" t="s">
        <v>348</v>
      </c>
      <c r="C126" s="55" t="s">
        <v>349</v>
      </c>
      <c r="D126" s="21" t="s">
        <v>350</v>
      </c>
      <c r="E126" s="89" t="s">
        <v>351</v>
      </c>
      <c r="F126" s="23" t="s">
        <v>324</v>
      </c>
      <c r="G126" s="24">
        <f t="shared" si="138"/>
        <v>3185000000</v>
      </c>
      <c r="H126" s="28"/>
      <c r="I126" s="5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7">
        <f t="shared" si="111"/>
        <v>0.7800764106750393</v>
      </c>
      <c r="AB126" s="24">
        <f t="shared" si="139"/>
        <v>2484543368</v>
      </c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>
        <f>+'[10]SEPTIEMBRE 2016'!$X$3643</f>
        <v>451915027</v>
      </c>
      <c r="AQ126" s="54"/>
      <c r="AR126" s="54"/>
      <c r="AS126" s="54"/>
      <c r="AT126" s="54">
        <f>+'[4]DICIEMBRE 2016'!$AB$4811</f>
        <v>2032628341</v>
      </c>
      <c r="AU126" s="54"/>
      <c r="AV126" s="54"/>
      <c r="AW126" s="57">
        <f t="shared" si="113"/>
        <v>0.2199235893249607</v>
      </c>
      <c r="AX126" s="24">
        <f t="shared" si="140"/>
        <v>700456632</v>
      </c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>
        <f>T126-AP126</f>
        <v>33084973</v>
      </c>
      <c r="BL126" s="54"/>
      <c r="BM126" s="54"/>
      <c r="BN126" s="54"/>
      <c r="BO126" s="54">
        <f>X126-AT126</f>
        <v>667371659</v>
      </c>
      <c r="BP126" s="24"/>
      <c r="BQ126" s="54"/>
      <c r="BR126" s="57">
        <f t="shared" si="119"/>
        <v>0.7800764106750393</v>
      </c>
      <c r="BS126" s="24">
        <f t="shared" si="145"/>
        <v>2484543368</v>
      </c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>
        <f>+'[10]SEPTIEMBRE 2016'!$H$3653</f>
        <v>451915027</v>
      </c>
      <c r="CH126" s="54"/>
      <c r="CI126" s="54"/>
      <c r="CJ126" s="54"/>
      <c r="CK126" s="54">
        <f>+'[2]DICIEMBRE 2016'!$H$4806</f>
        <v>2032628341</v>
      </c>
      <c r="CL126" s="54"/>
      <c r="CM126" s="54"/>
      <c r="CN126" s="57">
        <f t="shared" si="121"/>
        <v>0.2199235893249607</v>
      </c>
      <c r="CO126" s="24">
        <f t="shared" si="146"/>
        <v>700456632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667371659</v>
      </c>
      <c r="DG126" s="24"/>
      <c r="DH126" s="24"/>
    </row>
    <row r="127" spans="1:113" ht="33.75" customHeight="1" x14ac:dyDescent="0.25">
      <c r="A127" s="246" t="s">
        <v>314</v>
      </c>
      <c r="B127" s="239" t="s">
        <v>352</v>
      </c>
      <c r="C127" s="69" t="s">
        <v>353</v>
      </c>
      <c r="D127" s="21" t="s">
        <v>354</v>
      </c>
      <c r="E127" s="94">
        <v>510</v>
      </c>
      <c r="F127" s="23" t="s">
        <v>355</v>
      </c>
      <c r="G127" s="24">
        <f t="shared" si="138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1"/>
        <v>0.99301155970512034</v>
      </c>
      <c r="AB127" s="24">
        <f t="shared" si="139"/>
        <v>96807696</v>
      </c>
      <c r="AC127" s="24"/>
      <c r="AD127" s="24"/>
      <c r="AE127" s="24"/>
      <c r="AF127" s="24"/>
      <c r="AG127" s="24">
        <f>+'[4]DICIEMBRE 2016'!$O$3842</f>
        <v>91154992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>
        <f>+'[5]NOVIEMBRE 2016'!$Y$3656</f>
        <v>5652704</v>
      </c>
      <c r="AR127" s="24"/>
      <c r="AS127" s="24"/>
      <c r="AT127" s="24"/>
      <c r="AU127" s="24"/>
      <c r="AV127" s="24"/>
      <c r="AW127" s="25">
        <f t="shared" si="113"/>
        <v>6.9884402948796609E-3</v>
      </c>
      <c r="AX127" s="24">
        <f t="shared" si="140"/>
        <v>681296</v>
      </c>
      <c r="AY127" s="24">
        <f t="shared" ref="AY127:BA132" si="152">H127-AD127</f>
        <v>0</v>
      </c>
      <c r="AZ127" s="24">
        <f t="shared" si="152"/>
        <v>0</v>
      </c>
      <c r="BA127" s="24">
        <f t="shared" si="152"/>
        <v>0</v>
      </c>
      <c r="BB127" s="24">
        <f t="shared" ref="BB127:BM132" si="153">+K127-AG127</f>
        <v>334000</v>
      </c>
      <c r="BC127" s="24">
        <f t="shared" si="153"/>
        <v>0</v>
      </c>
      <c r="BD127" s="24">
        <f t="shared" si="153"/>
        <v>0</v>
      </c>
      <c r="BE127" s="24">
        <f t="shared" si="153"/>
        <v>0</v>
      </c>
      <c r="BF127" s="24">
        <f t="shared" si="153"/>
        <v>0</v>
      </c>
      <c r="BG127" s="24">
        <f t="shared" si="153"/>
        <v>0</v>
      </c>
      <c r="BH127" s="24">
        <f t="shared" si="153"/>
        <v>0</v>
      </c>
      <c r="BI127" s="24">
        <f t="shared" si="153"/>
        <v>0</v>
      </c>
      <c r="BJ127" s="24">
        <f t="shared" si="153"/>
        <v>0</v>
      </c>
      <c r="BK127" s="24">
        <f t="shared" si="153"/>
        <v>0</v>
      </c>
      <c r="BL127" s="24">
        <f t="shared" si="153"/>
        <v>347296</v>
      </c>
      <c r="BM127" s="24">
        <f t="shared" si="153"/>
        <v>0</v>
      </c>
      <c r="BN127" s="24"/>
      <c r="BO127" s="24"/>
      <c r="BP127" s="24">
        <f t="shared" ref="BP127:BP132" si="154">Y127-AU127</f>
        <v>0</v>
      </c>
      <c r="BQ127" s="24">
        <f t="shared" ref="BQ127:BQ132" si="155">+Z127-AV127</f>
        <v>0</v>
      </c>
      <c r="BR127" s="25">
        <f t="shared" si="119"/>
        <v>0.99301155970512034</v>
      </c>
      <c r="BS127" s="24">
        <f t="shared" si="145"/>
        <v>96807696</v>
      </c>
      <c r="BT127" s="24"/>
      <c r="BU127" s="24"/>
      <c r="BV127" s="24"/>
      <c r="BW127" s="24"/>
      <c r="BX127" s="24">
        <f>+'[4]DICIEMBRE 2016'!$O$3842</f>
        <v>91154992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>
        <f>+'[2]DICIEMBRE 2016'!$Y$3841</f>
        <v>5652704</v>
      </c>
      <c r="CI127" s="24"/>
      <c r="CJ127" s="24"/>
      <c r="CK127" s="24"/>
      <c r="CL127" s="24"/>
      <c r="CM127" s="24"/>
      <c r="CN127" s="25">
        <f t="shared" si="121"/>
        <v>6.9884402948796609E-3</v>
      </c>
      <c r="CO127" s="24">
        <f t="shared" si="146"/>
        <v>681296</v>
      </c>
      <c r="CP127" s="24">
        <f t="shared" ref="CP127:CU132" si="156">H127-BU127</f>
        <v>0</v>
      </c>
      <c r="CQ127" s="24">
        <f t="shared" si="156"/>
        <v>0</v>
      </c>
      <c r="CR127" s="24">
        <f t="shared" si="156"/>
        <v>0</v>
      </c>
      <c r="CS127" s="24">
        <f t="shared" si="156"/>
        <v>334000</v>
      </c>
      <c r="CT127" s="24">
        <f t="shared" si="156"/>
        <v>0</v>
      </c>
      <c r="CU127" s="24">
        <f t="shared" si="156"/>
        <v>0</v>
      </c>
      <c r="CV127" s="24">
        <f t="shared" ref="CV127:CX132" si="157">+N127-CA127</f>
        <v>0</v>
      </c>
      <c r="CW127" s="24">
        <f t="shared" si="157"/>
        <v>0</v>
      </c>
      <c r="CX127" s="24">
        <f t="shared" si="157"/>
        <v>0</v>
      </c>
      <c r="CY127" s="24">
        <f t="shared" ref="CY127:DA132" si="158">Q127-CD127</f>
        <v>0</v>
      </c>
      <c r="CZ127" s="24">
        <f t="shared" si="158"/>
        <v>0</v>
      </c>
      <c r="DA127" s="24">
        <f t="shared" si="158"/>
        <v>0</v>
      </c>
      <c r="DB127" s="24">
        <f t="shared" ref="DB127:DD132" si="159">+T127-CG127</f>
        <v>0</v>
      </c>
      <c r="DC127" s="24">
        <f t="shared" si="159"/>
        <v>347296</v>
      </c>
      <c r="DD127" s="24">
        <f t="shared" si="159"/>
        <v>0</v>
      </c>
      <c r="DE127" s="24"/>
      <c r="DF127" s="24">
        <f t="shared" ref="DF127:DH132" si="160">+X127-CK127</f>
        <v>0</v>
      </c>
      <c r="DG127" s="24">
        <f t="shared" si="160"/>
        <v>0</v>
      </c>
      <c r="DH127" s="24">
        <f t="shared" si="160"/>
        <v>0</v>
      </c>
    </row>
    <row r="128" spans="1:113" ht="44.25" customHeight="1" x14ac:dyDescent="0.25">
      <c r="A128" s="246"/>
      <c r="B128" s="240"/>
      <c r="C128" s="69" t="s">
        <v>356</v>
      </c>
      <c r="D128" s="21" t="s">
        <v>357</v>
      </c>
      <c r="E128" s="94">
        <v>510</v>
      </c>
      <c r="F128" s="23" t="s">
        <v>355</v>
      </c>
      <c r="G128" s="24">
        <f t="shared" si="138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1"/>
        <v>0.9903049736763011</v>
      </c>
      <c r="AB128" s="24">
        <f t="shared" si="139"/>
        <v>104488076</v>
      </c>
      <c r="AC128" s="24"/>
      <c r="AD128" s="24"/>
      <c r="AE128" s="24"/>
      <c r="AF128" s="24"/>
      <c r="AG128" s="24">
        <f>+'[4]DICIEMBRE 2016'!$O$3869</f>
        <v>104488076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13"/>
        <v>9.6950263236988965E-3</v>
      </c>
      <c r="AX128" s="24">
        <f t="shared" si="140"/>
        <v>1022932</v>
      </c>
      <c r="AY128" s="24">
        <f t="shared" si="152"/>
        <v>0</v>
      </c>
      <c r="AZ128" s="24">
        <f t="shared" si="152"/>
        <v>0</v>
      </c>
      <c r="BA128" s="24">
        <f t="shared" si="152"/>
        <v>0</v>
      </c>
      <c r="BB128" s="24">
        <f t="shared" si="153"/>
        <v>1022932</v>
      </c>
      <c r="BC128" s="24">
        <f t="shared" si="153"/>
        <v>0</v>
      </c>
      <c r="BD128" s="24">
        <f t="shared" si="153"/>
        <v>0</v>
      </c>
      <c r="BE128" s="24">
        <f t="shared" si="153"/>
        <v>0</v>
      </c>
      <c r="BF128" s="24">
        <f t="shared" si="153"/>
        <v>0</v>
      </c>
      <c r="BG128" s="24">
        <f t="shared" si="153"/>
        <v>0</v>
      </c>
      <c r="BH128" s="24">
        <f t="shared" si="153"/>
        <v>0</v>
      </c>
      <c r="BI128" s="24">
        <f t="shared" si="153"/>
        <v>0</v>
      </c>
      <c r="BJ128" s="24">
        <f t="shared" si="153"/>
        <v>0</v>
      </c>
      <c r="BK128" s="24">
        <f t="shared" si="153"/>
        <v>0</v>
      </c>
      <c r="BL128" s="24">
        <f t="shared" si="153"/>
        <v>0</v>
      </c>
      <c r="BM128" s="24">
        <f t="shared" si="153"/>
        <v>0</v>
      </c>
      <c r="BN128" s="24"/>
      <c r="BO128" s="24"/>
      <c r="BP128" s="24">
        <f t="shared" si="154"/>
        <v>0</v>
      </c>
      <c r="BQ128" s="24">
        <f t="shared" si="155"/>
        <v>0</v>
      </c>
      <c r="BR128" s="25">
        <f t="shared" si="119"/>
        <v>0.9903049736763011</v>
      </c>
      <c r="BS128" s="24">
        <f t="shared" si="145"/>
        <v>104488076</v>
      </c>
      <c r="BT128" s="24"/>
      <c r="BU128" s="24"/>
      <c r="BV128" s="24"/>
      <c r="BW128" s="24"/>
      <c r="BX128" s="24">
        <f>+'[4]DICIEMBRE 2016'!$O$3869</f>
        <v>104488076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1"/>
        <v>9.6950263236988965E-3</v>
      </c>
      <c r="CO128" s="24">
        <f t="shared" si="146"/>
        <v>1022932</v>
      </c>
      <c r="CP128" s="24">
        <f t="shared" si="156"/>
        <v>0</v>
      </c>
      <c r="CQ128" s="24">
        <f t="shared" si="156"/>
        <v>0</v>
      </c>
      <c r="CR128" s="24">
        <f t="shared" si="156"/>
        <v>0</v>
      </c>
      <c r="CS128" s="24">
        <f t="shared" si="156"/>
        <v>1022932</v>
      </c>
      <c r="CT128" s="24">
        <f t="shared" si="156"/>
        <v>0</v>
      </c>
      <c r="CU128" s="24">
        <f t="shared" si="156"/>
        <v>0</v>
      </c>
      <c r="CV128" s="24">
        <f t="shared" si="157"/>
        <v>0</v>
      </c>
      <c r="CW128" s="24">
        <f t="shared" si="157"/>
        <v>0</v>
      </c>
      <c r="CX128" s="24">
        <f t="shared" si="157"/>
        <v>0</v>
      </c>
      <c r="CY128" s="24">
        <f t="shared" si="158"/>
        <v>0</v>
      </c>
      <c r="CZ128" s="24">
        <f t="shared" si="158"/>
        <v>0</v>
      </c>
      <c r="DA128" s="24">
        <f t="shared" si="158"/>
        <v>0</v>
      </c>
      <c r="DB128" s="24">
        <f t="shared" si="159"/>
        <v>0</v>
      </c>
      <c r="DC128" s="24">
        <f t="shared" si="159"/>
        <v>0</v>
      </c>
      <c r="DD128" s="24">
        <f t="shared" si="159"/>
        <v>0</v>
      </c>
      <c r="DE128" s="24"/>
      <c r="DF128" s="24">
        <f t="shared" si="160"/>
        <v>0</v>
      </c>
      <c r="DG128" s="24">
        <f t="shared" si="160"/>
        <v>0</v>
      </c>
      <c r="DH128" s="24">
        <f t="shared" si="160"/>
        <v>0</v>
      </c>
    </row>
    <row r="129" spans="1:112" ht="38.25" customHeight="1" x14ac:dyDescent="0.25">
      <c r="A129" s="246"/>
      <c r="B129" s="241"/>
      <c r="C129" s="69" t="s">
        <v>358</v>
      </c>
      <c r="D129" s="21" t="s">
        <v>359</v>
      </c>
      <c r="E129" s="94">
        <v>510</v>
      </c>
      <c r="F129" s="23" t="s">
        <v>355</v>
      </c>
      <c r="G129" s="24">
        <f t="shared" si="138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1"/>
        <v>0.75760000000000005</v>
      </c>
      <c r="AB129" s="24">
        <f t="shared" si="139"/>
        <v>7576000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>
        <f>+'[1]OCTUBRE 2016'!$W$3263</f>
        <v>7576000</v>
      </c>
      <c r="AP129" s="24"/>
      <c r="AQ129" s="24"/>
      <c r="AR129" s="24"/>
      <c r="AS129" s="24"/>
      <c r="AT129" s="24"/>
      <c r="AU129" s="24"/>
      <c r="AV129" s="24"/>
      <c r="AW129" s="25">
        <f t="shared" si="113"/>
        <v>0.24239999999999995</v>
      </c>
      <c r="AX129" s="24">
        <f t="shared" si="140"/>
        <v>2424000</v>
      </c>
      <c r="AY129" s="24">
        <f t="shared" si="152"/>
        <v>0</v>
      </c>
      <c r="AZ129" s="24">
        <f t="shared" si="152"/>
        <v>0</v>
      </c>
      <c r="BA129" s="24">
        <f t="shared" si="152"/>
        <v>0</v>
      </c>
      <c r="BB129" s="24">
        <f t="shared" si="153"/>
        <v>0</v>
      </c>
      <c r="BC129" s="24">
        <f t="shared" si="153"/>
        <v>0</v>
      </c>
      <c r="BD129" s="24">
        <f t="shared" si="153"/>
        <v>0</v>
      </c>
      <c r="BE129" s="24">
        <f t="shared" si="153"/>
        <v>0</v>
      </c>
      <c r="BF129" s="24">
        <f t="shared" si="153"/>
        <v>0</v>
      </c>
      <c r="BG129" s="24">
        <f t="shared" si="153"/>
        <v>0</v>
      </c>
      <c r="BH129" s="24">
        <f t="shared" si="153"/>
        <v>0</v>
      </c>
      <c r="BI129" s="24">
        <f t="shared" si="153"/>
        <v>0</v>
      </c>
      <c r="BJ129" s="24">
        <f t="shared" si="153"/>
        <v>2424000</v>
      </c>
      <c r="BK129" s="24">
        <f t="shared" si="153"/>
        <v>0</v>
      </c>
      <c r="BL129" s="24">
        <f t="shared" si="153"/>
        <v>0</v>
      </c>
      <c r="BM129" s="24">
        <f t="shared" si="153"/>
        <v>0</v>
      </c>
      <c r="BN129" s="24"/>
      <c r="BO129" s="24"/>
      <c r="BP129" s="24">
        <f t="shared" si="154"/>
        <v>0</v>
      </c>
      <c r="BQ129" s="24">
        <f t="shared" si="155"/>
        <v>0</v>
      </c>
      <c r="BR129" s="25">
        <f t="shared" si="119"/>
        <v>0.75760000000000005</v>
      </c>
      <c r="BS129" s="24">
        <f t="shared" si="145"/>
        <v>7576000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>
        <f>+'[5]NOVIEMBRE 2016'!$H$3703</f>
        <v>7576000</v>
      </c>
      <c r="CG129" s="24"/>
      <c r="CH129" s="24"/>
      <c r="CI129" s="24"/>
      <c r="CJ129" s="24"/>
      <c r="CK129" s="24"/>
      <c r="CL129" s="24"/>
      <c r="CM129" s="24"/>
      <c r="CN129" s="25">
        <f t="shared" si="121"/>
        <v>0.24239999999999995</v>
      </c>
      <c r="CO129" s="24">
        <f t="shared" si="146"/>
        <v>2424000</v>
      </c>
      <c r="CP129" s="24">
        <f t="shared" si="156"/>
        <v>0</v>
      </c>
      <c r="CQ129" s="24">
        <f t="shared" si="156"/>
        <v>0</v>
      </c>
      <c r="CR129" s="24">
        <f t="shared" si="156"/>
        <v>0</v>
      </c>
      <c r="CS129" s="24">
        <f t="shared" si="156"/>
        <v>0</v>
      </c>
      <c r="CT129" s="24">
        <f t="shared" si="156"/>
        <v>0</v>
      </c>
      <c r="CU129" s="24">
        <f t="shared" si="156"/>
        <v>0</v>
      </c>
      <c r="CV129" s="24">
        <f t="shared" si="157"/>
        <v>0</v>
      </c>
      <c r="CW129" s="24">
        <f t="shared" si="157"/>
        <v>0</v>
      </c>
      <c r="CX129" s="24">
        <f t="shared" si="157"/>
        <v>0</v>
      </c>
      <c r="CY129" s="24">
        <f t="shared" si="158"/>
        <v>0</v>
      </c>
      <c r="CZ129" s="24">
        <f t="shared" si="158"/>
        <v>0</v>
      </c>
      <c r="DA129" s="24">
        <f t="shared" si="158"/>
        <v>2424000</v>
      </c>
      <c r="DB129" s="24">
        <f t="shared" si="159"/>
        <v>0</v>
      </c>
      <c r="DC129" s="24">
        <f t="shared" si="159"/>
        <v>0</v>
      </c>
      <c r="DD129" s="24">
        <f t="shared" si="159"/>
        <v>0</v>
      </c>
      <c r="DE129" s="24"/>
      <c r="DF129" s="24">
        <f t="shared" si="160"/>
        <v>0</v>
      </c>
      <c r="DG129" s="24">
        <f t="shared" si="160"/>
        <v>0</v>
      </c>
      <c r="DH129" s="24">
        <f t="shared" si="160"/>
        <v>0</v>
      </c>
    </row>
    <row r="130" spans="1:112" ht="37.5" customHeight="1" x14ac:dyDescent="0.25">
      <c r="A130" s="246"/>
      <c r="B130" s="88" t="s">
        <v>360</v>
      </c>
      <c r="C130" s="69" t="s">
        <v>361</v>
      </c>
      <c r="D130" s="21" t="s">
        <v>362</v>
      </c>
      <c r="E130" s="94">
        <v>510</v>
      </c>
      <c r="F130" s="23" t="s">
        <v>355</v>
      </c>
      <c r="G130" s="24">
        <f t="shared" si="138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1"/>
        <v>0.97971187500000001</v>
      </c>
      <c r="AB130" s="24">
        <f t="shared" si="139"/>
        <v>78376950</v>
      </c>
      <c r="AC130" s="24"/>
      <c r="AD130" s="24"/>
      <c r="AE130" s="24"/>
      <c r="AF130" s="24"/>
      <c r="AG130" s="24">
        <f>+'[5]NOVIEMBRE 2016'!$O$3715</f>
        <v>78376950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3"/>
        <v>2.028812499999999E-2</v>
      </c>
      <c r="AX130" s="24">
        <f t="shared" si="140"/>
        <v>1623050</v>
      </c>
      <c r="AY130" s="24">
        <f t="shared" si="152"/>
        <v>0</v>
      </c>
      <c r="AZ130" s="24">
        <f t="shared" si="152"/>
        <v>0</v>
      </c>
      <c r="BA130" s="24">
        <f t="shared" si="152"/>
        <v>0</v>
      </c>
      <c r="BB130" s="24">
        <f t="shared" si="153"/>
        <v>1623050</v>
      </c>
      <c r="BC130" s="24">
        <f t="shared" si="153"/>
        <v>0</v>
      </c>
      <c r="BD130" s="24">
        <f t="shared" si="153"/>
        <v>0</v>
      </c>
      <c r="BE130" s="24">
        <f t="shared" si="153"/>
        <v>0</v>
      </c>
      <c r="BF130" s="24">
        <f t="shared" si="153"/>
        <v>0</v>
      </c>
      <c r="BG130" s="24">
        <f t="shared" si="153"/>
        <v>0</v>
      </c>
      <c r="BH130" s="24">
        <f t="shared" si="153"/>
        <v>0</v>
      </c>
      <c r="BI130" s="24">
        <f t="shared" si="153"/>
        <v>0</v>
      </c>
      <c r="BJ130" s="24">
        <f t="shared" si="153"/>
        <v>0</v>
      </c>
      <c r="BK130" s="24">
        <f t="shared" si="153"/>
        <v>0</v>
      </c>
      <c r="BL130" s="24">
        <f t="shared" si="153"/>
        <v>0</v>
      </c>
      <c r="BM130" s="24">
        <f t="shared" si="153"/>
        <v>0</v>
      </c>
      <c r="BN130" s="24"/>
      <c r="BO130" s="24"/>
      <c r="BP130" s="24">
        <f t="shared" si="154"/>
        <v>0</v>
      </c>
      <c r="BQ130" s="24">
        <f t="shared" si="155"/>
        <v>0</v>
      </c>
      <c r="BR130" s="25">
        <f t="shared" si="119"/>
        <v>0.97971187500000001</v>
      </c>
      <c r="BS130" s="24">
        <f t="shared" si="145"/>
        <v>78376950</v>
      </c>
      <c r="BT130" s="24"/>
      <c r="BU130" s="24"/>
      <c r="BV130" s="24"/>
      <c r="BW130" s="24"/>
      <c r="BX130" s="24">
        <f>+'[14]MARZO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1"/>
        <v>2.028812499999999E-2</v>
      </c>
      <c r="CO130" s="24">
        <f t="shared" si="146"/>
        <v>1623050</v>
      </c>
      <c r="CP130" s="24">
        <f t="shared" si="156"/>
        <v>0</v>
      </c>
      <c r="CQ130" s="24">
        <f t="shared" si="156"/>
        <v>0</v>
      </c>
      <c r="CR130" s="24">
        <f t="shared" si="156"/>
        <v>0</v>
      </c>
      <c r="CS130" s="24">
        <f t="shared" si="156"/>
        <v>1623050</v>
      </c>
      <c r="CT130" s="24">
        <f t="shared" si="156"/>
        <v>0</v>
      </c>
      <c r="CU130" s="24">
        <f t="shared" si="156"/>
        <v>0</v>
      </c>
      <c r="CV130" s="24">
        <f t="shared" si="157"/>
        <v>0</v>
      </c>
      <c r="CW130" s="24">
        <f t="shared" si="157"/>
        <v>0</v>
      </c>
      <c r="CX130" s="24">
        <f t="shared" si="157"/>
        <v>0</v>
      </c>
      <c r="CY130" s="24">
        <f t="shared" si="158"/>
        <v>0</v>
      </c>
      <c r="CZ130" s="24">
        <f t="shared" si="158"/>
        <v>0</v>
      </c>
      <c r="DA130" s="24">
        <f t="shared" si="158"/>
        <v>0</v>
      </c>
      <c r="DB130" s="24">
        <f t="shared" si="159"/>
        <v>0</v>
      </c>
      <c r="DC130" s="24">
        <f t="shared" si="159"/>
        <v>0</v>
      </c>
      <c r="DD130" s="24">
        <f t="shared" si="159"/>
        <v>0</v>
      </c>
      <c r="DE130" s="24"/>
      <c r="DF130" s="24">
        <f t="shared" si="160"/>
        <v>0</v>
      </c>
      <c r="DG130" s="24">
        <f t="shared" si="160"/>
        <v>0</v>
      </c>
      <c r="DH130" s="24">
        <f t="shared" si="160"/>
        <v>0</v>
      </c>
    </row>
    <row r="131" spans="1:112" ht="35.25" customHeight="1" x14ac:dyDescent="0.25">
      <c r="A131" s="246"/>
      <c r="B131" s="88" t="s">
        <v>363</v>
      </c>
      <c r="C131" s="69" t="s">
        <v>364</v>
      </c>
      <c r="D131" s="21" t="s">
        <v>365</v>
      </c>
      <c r="E131" s="94">
        <v>510</v>
      </c>
      <c r="F131" s="23" t="s">
        <v>366</v>
      </c>
      <c r="G131" s="24">
        <f t="shared" si="138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1"/>
        <v>0.97727465454545459</v>
      </c>
      <c r="AB131" s="24">
        <f t="shared" si="139"/>
        <v>107500212</v>
      </c>
      <c r="AC131" s="24"/>
      <c r="AD131" s="24"/>
      <c r="AE131" s="24"/>
      <c r="AF131" s="24"/>
      <c r="AG131" s="24">
        <f>+'[5]NOVIEMBRE 2016'!$O$3728</f>
        <v>107500212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13"/>
        <v>2.2725345454545409E-2</v>
      </c>
      <c r="AX131" s="24">
        <f t="shared" si="140"/>
        <v>2499788</v>
      </c>
      <c r="AY131" s="24">
        <f t="shared" si="152"/>
        <v>0</v>
      </c>
      <c r="AZ131" s="24">
        <f t="shared" si="152"/>
        <v>0</v>
      </c>
      <c r="BA131" s="24">
        <f t="shared" si="152"/>
        <v>0</v>
      </c>
      <c r="BB131" s="24">
        <f t="shared" si="153"/>
        <v>2499788</v>
      </c>
      <c r="BC131" s="24">
        <f t="shared" si="153"/>
        <v>0</v>
      </c>
      <c r="BD131" s="24">
        <f t="shared" si="153"/>
        <v>0</v>
      </c>
      <c r="BE131" s="24">
        <f t="shared" si="153"/>
        <v>0</v>
      </c>
      <c r="BF131" s="24">
        <f t="shared" si="153"/>
        <v>0</v>
      </c>
      <c r="BG131" s="24">
        <f t="shared" si="153"/>
        <v>0</v>
      </c>
      <c r="BH131" s="24">
        <f t="shared" si="153"/>
        <v>0</v>
      </c>
      <c r="BI131" s="24">
        <f t="shared" si="153"/>
        <v>0</v>
      </c>
      <c r="BJ131" s="24">
        <f t="shared" si="153"/>
        <v>0</v>
      </c>
      <c r="BK131" s="24">
        <f t="shared" si="153"/>
        <v>0</v>
      </c>
      <c r="BL131" s="24">
        <f t="shared" si="153"/>
        <v>0</v>
      </c>
      <c r="BM131" s="24">
        <f t="shared" si="153"/>
        <v>0</v>
      </c>
      <c r="BN131" s="24"/>
      <c r="BO131" s="24"/>
      <c r="BP131" s="24">
        <f t="shared" si="154"/>
        <v>0</v>
      </c>
      <c r="BQ131" s="24">
        <f t="shared" si="155"/>
        <v>0</v>
      </c>
      <c r="BR131" s="25">
        <f t="shared" si="119"/>
        <v>0.97727465454545459</v>
      </c>
      <c r="BS131" s="24">
        <f t="shared" si="145"/>
        <v>107500212</v>
      </c>
      <c r="BT131" s="24"/>
      <c r="BU131" s="24"/>
      <c r="BV131" s="24"/>
      <c r="BW131" s="24"/>
      <c r="BX131" s="24">
        <f>+'[10]SEPTIEMBRE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1"/>
        <v>2.2725345454545409E-2</v>
      </c>
      <c r="CO131" s="24">
        <f t="shared" si="146"/>
        <v>2499788</v>
      </c>
      <c r="CP131" s="24">
        <f t="shared" si="156"/>
        <v>0</v>
      </c>
      <c r="CQ131" s="24">
        <f t="shared" si="156"/>
        <v>0</v>
      </c>
      <c r="CR131" s="24">
        <f t="shared" si="156"/>
        <v>0</v>
      </c>
      <c r="CS131" s="24">
        <f t="shared" si="156"/>
        <v>2499788</v>
      </c>
      <c r="CT131" s="24">
        <f t="shared" si="156"/>
        <v>0</v>
      </c>
      <c r="CU131" s="24">
        <f t="shared" si="156"/>
        <v>0</v>
      </c>
      <c r="CV131" s="24">
        <f t="shared" si="157"/>
        <v>0</v>
      </c>
      <c r="CW131" s="24">
        <f t="shared" si="157"/>
        <v>0</v>
      </c>
      <c r="CX131" s="24">
        <f t="shared" si="157"/>
        <v>0</v>
      </c>
      <c r="CY131" s="24">
        <f t="shared" si="158"/>
        <v>0</v>
      </c>
      <c r="CZ131" s="24">
        <f t="shared" si="158"/>
        <v>0</v>
      </c>
      <c r="DA131" s="24">
        <f t="shared" si="158"/>
        <v>0</v>
      </c>
      <c r="DB131" s="24">
        <f t="shared" si="159"/>
        <v>0</v>
      </c>
      <c r="DC131" s="24">
        <f t="shared" si="159"/>
        <v>0</v>
      </c>
      <c r="DD131" s="24">
        <f t="shared" si="159"/>
        <v>0</v>
      </c>
      <c r="DE131" s="24"/>
      <c r="DF131" s="24">
        <f t="shared" si="160"/>
        <v>0</v>
      </c>
      <c r="DG131" s="24">
        <f t="shared" si="160"/>
        <v>0</v>
      </c>
      <c r="DH131" s="24">
        <f t="shared" si="160"/>
        <v>0</v>
      </c>
    </row>
    <row r="132" spans="1:112" ht="41.25" customHeight="1" x14ac:dyDescent="0.25">
      <c r="A132" s="247"/>
      <c r="B132" s="88" t="s">
        <v>367</v>
      </c>
      <c r="C132" s="69" t="s">
        <v>368</v>
      </c>
      <c r="D132" s="21" t="s">
        <v>369</v>
      </c>
      <c r="E132" s="94">
        <v>310</v>
      </c>
      <c r="F132" s="23" t="s">
        <v>370</v>
      </c>
      <c r="G132" s="24">
        <f t="shared" si="138"/>
        <v>235146880</v>
      </c>
      <c r="H132" s="24"/>
      <c r="I132" s="24"/>
      <c r="J132" s="24"/>
      <c r="K132" s="24">
        <f>243168096-40000000</f>
        <v>203168096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1"/>
        <v>0.64452944899800502</v>
      </c>
      <c r="AB132" s="24">
        <f t="shared" si="139"/>
        <v>151559089</v>
      </c>
      <c r="AC132" s="24"/>
      <c r="AD132" s="24"/>
      <c r="AE132" s="24"/>
      <c r="AF132" s="24"/>
      <c r="AG132" s="24">
        <f>+'[4]DICIEMBRE 2016'!$O$935</f>
        <v>146972351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+'[9]AGOSTO 2016'!$AG$556</f>
        <v>4586738</v>
      </c>
      <c r="AW132" s="25">
        <f t="shared" si="113"/>
        <v>0.35547055100199498</v>
      </c>
      <c r="AX132" s="24">
        <f t="shared" si="140"/>
        <v>83587791</v>
      </c>
      <c r="AY132" s="24">
        <f t="shared" si="152"/>
        <v>0</v>
      </c>
      <c r="AZ132" s="24">
        <f t="shared" si="152"/>
        <v>0</v>
      </c>
      <c r="BA132" s="24">
        <f t="shared" si="152"/>
        <v>0</v>
      </c>
      <c r="BB132" s="24">
        <f t="shared" si="153"/>
        <v>56195745</v>
      </c>
      <c r="BC132" s="24">
        <f t="shared" si="153"/>
        <v>0</v>
      </c>
      <c r="BD132" s="24">
        <f t="shared" si="153"/>
        <v>0</v>
      </c>
      <c r="BE132" s="24">
        <f t="shared" si="153"/>
        <v>0</v>
      </c>
      <c r="BF132" s="24">
        <f t="shared" si="153"/>
        <v>0</v>
      </c>
      <c r="BG132" s="24">
        <f t="shared" si="153"/>
        <v>0</v>
      </c>
      <c r="BH132" s="24">
        <f t="shared" si="153"/>
        <v>0</v>
      </c>
      <c r="BI132" s="24">
        <f t="shared" si="153"/>
        <v>4978784</v>
      </c>
      <c r="BJ132" s="24">
        <f t="shared" si="153"/>
        <v>0</v>
      </c>
      <c r="BK132" s="24">
        <f t="shared" si="153"/>
        <v>0</v>
      </c>
      <c r="BL132" s="24">
        <f t="shared" si="153"/>
        <v>0</v>
      </c>
      <c r="BM132" s="24">
        <f t="shared" si="153"/>
        <v>0</v>
      </c>
      <c r="BN132" s="24"/>
      <c r="BO132" s="24"/>
      <c r="BP132" s="24">
        <f t="shared" si="154"/>
        <v>0</v>
      </c>
      <c r="BQ132" s="24">
        <f t="shared" si="155"/>
        <v>22413262</v>
      </c>
      <c r="BR132" s="25">
        <f t="shared" si="119"/>
        <v>0.64452944899800502</v>
      </c>
      <c r="BS132" s="24">
        <f t="shared" si="145"/>
        <v>151559089</v>
      </c>
      <c r="BT132" s="24"/>
      <c r="BU132" s="24"/>
      <c r="BV132" s="24"/>
      <c r="BW132" s="24"/>
      <c r="BX132" s="24">
        <f>+'[4]DICIEMBRE 2016'!$O$935</f>
        <v>146972351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+'[1]OCTUBRE 2016'!$H$870+'[1]OCTUBRE 2016'!$H$871+'[1]OCTUBRE 2016'!$H$856</f>
        <v>4586738</v>
      </c>
      <c r="CN132" s="25">
        <f t="shared" si="121"/>
        <v>0.35547055100199498</v>
      </c>
      <c r="CO132" s="24">
        <f t="shared" si="146"/>
        <v>83587791</v>
      </c>
      <c r="CP132" s="24">
        <f t="shared" si="156"/>
        <v>0</v>
      </c>
      <c r="CQ132" s="24">
        <f t="shared" si="156"/>
        <v>0</v>
      </c>
      <c r="CR132" s="24">
        <f t="shared" si="156"/>
        <v>0</v>
      </c>
      <c r="CS132" s="24">
        <f t="shared" si="156"/>
        <v>56195745</v>
      </c>
      <c r="CT132" s="24">
        <f t="shared" si="156"/>
        <v>0</v>
      </c>
      <c r="CU132" s="24">
        <f t="shared" si="156"/>
        <v>0</v>
      </c>
      <c r="CV132" s="24">
        <f t="shared" si="157"/>
        <v>0</v>
      </c>
      <c r="CW132" s="24">
        <f t="shared" si="157"/>
        <v>0</v>
      </c>
      <c r="CX132" s="24">
        <f t="shared" si="157"/>
        <v>0</v>
      </c>
      <c r="CY132" s="24">
        <f t="shared" si="158"/>
        <v>0</v>
      </c>
      <c r="CZ132" s="24">
        <f t="shared" si="158"/>
        <v>4978784</v>
      </c>
      <c r="DA132" s="24">
        <f t="shared" si="158"/>
        <v>0</v>
      </c>
      <c r="DB132" s="24">
        <f t="shared" si="159"/>
        <v>0</v>
      </c>
      <c r="DC132" s="24">
        <f t="shared" si="159"/>
        <v>0</v>
      </c>
      <c r="DD132" s="24">
        <f t="shared" si="159"/>
        <v>0</v>
      </c>
      <c r="DE132" s="24"/>
      <c r="DF132" s="24">
        <f t="shared" si="160"/>
        <v>0</v>
      </c>
      <c r="DG132" s="24">
        <f t="shared" si="160"/>
        <v>0</v>
      </c>
      <c r="DH132" s="24">
        <f t="shared" si="160"/>
        <v>22413262</v>
      </c>
    </row>
    <row r="133" spans="1:112" s="43" customFormat="1" ht="18.75" customHeight="1" thickBot="1" x14ac:dyDescent="0.3">
      <c r="A133" s="97"/>
      <c r="B133" s="260" t="s">
        <v>371</v>
      </c>
      <c r="C133" s="261"/>
      <c r="D133" s="262"/>
      <c r="E133" s="98"/>
      <c r="F133" s="99"/>
      <c r="G133" s="61">
        <f t="shared" ref="G133:Z133" si="161">SUM(G114:G132)</f>
        <v>12695395182</v>
      </c>
      <c r="H133" s="61">
        <f t="shared" si="161"/>
        <v>0</v>
      </c>
      <c r="I133" s="61">
        <f t="shared" si="161"/>
        <v>7357828308</v>
      </c>
      <c r="J133" s="61">
        <f t="shared" si="161"/>
        <v>171003327</v>
      </c>
      <c r="K133" s="61">
        <f t="shared" si="161"/>
        <v>590168096</v>
      </c>
      <c r="L133" s="61">
        <f t="shared" si="161"/>
        <v>0</v>
      </c>
      <c r="M133" s="61">
        <f t="shared" si="161"/>
        <v>54387</v>
      </c>
      <c r="N133" s="61">
        <f t="shared" si="161"/>
        <v>30665828</v>
      </c>
      <c r="O133" s="61">
        <f t="shared" si="161"/>
        <v>1940856</v>
      </c>
      <c r="P133" s="61">
        <f t="shared" si="161"/>
        <v>3438802</v>
      </c>
      <c r="Q133" s="61">
        <f t="shared" si="161"/>
        <v>345941457</v>
      </c>
      <c r="R133" s="61">
        <f t="shared" si="161"/>
        <v>4978784</v>
      </c>
      <c r="S133" s="61">
        <f t="shared" si="161"/>
        <v>390000000</v>
      </c>
      <c r="T133" s="61">
        <f t="shared" si="161"/>
        <v>485000000</v>
      </c>
      <c r="U133" s="61">
        <f t="shared" si="161"/>
        <v>6000000</v>
      </c>
      <c r="V133" s="61">
        <f t="shared" si="161"/>
        <v>0</v>
      </c>
      <c r="W133" s="61">
        <f t="shared" si="161"/>
        <v>0</v>
      </c>
      <c r="X133" s="61">
        <f t="shared" si="161"/>
        <v>2700000000</v>
      </c>
      <c r="Y133" s="61">
        <f t="shared" si="161"/>
        <v>0</v>
      </c>
      <c r="Z133" s="61">
        <f t="shared" si="161"/>
        <v>608375337</v>
      </c>
      <c r="AA133" s="39">
        <f t="shared" si="111"/>
        <v>0.79239213469014802</v>
      </c>
      <c r="AB133" s="61">
        <f>SUM(AB114:AB132)</f>
        <v>10059731289</v>
      </c>
      <c r="AC133" s="61"/>
      <c r="AD133" s="61">
        <f t="shared" ref="AD133:AV133" si="162">SUM(AD114:AD132)</f>
        <v>0</v>
      </c>
      <c r="AE133" s="61">
        <f t="shared" si="162"/>
        <v>5959563249</v>
      </c>
      <c r="AF133" s="61">
        <f t="shared" si="162"/>
        <v>149170600</v>
      </c>
      <c r="AG133" s="61">
        <f t="shared" si="162"/>
        <v>528492581</v>
      </c>
      <c r="AH133" s="61">
        <f t="shared" si="162"/>
        <v>0</v>
      </c>
      <c r="AI133" s="61">
        <f t="shared" si="162"/>
        <v>0</v>
      </c>
      <c r="AJ133" s="61">
        <f t="shared" si="162"/>
        <v>0</v>
      </c>
      <c r="AK133" s="61">
        <f t="shared" si="162"/>
        <v>0</v>
      </c>
      <c r="AL133" s="61">
        <f t="shared" si="162"/>
        <v>3438802</v>
      </c>
      <c r="AM133" s="61">
        <f t="shared" si="162"/>
        <v>169852012</v>
      </c>
      <c r="AN133" s="61">
        <f t="shared" si="162"/>
        <v>0</v>
      </c>
      <c r="AO133" s="61">
        <f t="shared" si="162"/>
        <v>381016367</v>
      </c>
      <c r="AP133" s="61">
        <f t="shared" si="162"/>
        <v>451915027</v>
      </c>
      <c r="AQ133" s="61">
        <f t="shared" si="162"/>
        <v>5652704</v>
      </c>
      <c r="AR133" s="61">
        <f t="shared" si="162"/>
        <v>0</v>
      </c>
      <c r="AS133" s="61">
        <f t="shared" si="162"/>
        <v>0</v>
      </c>
      <c r="AT133" s="61">
        <f t="shared" si="162"/>
        <v>2032628341</v>
      </c>
      <c r="AU133" s="61">
        <f t="shared" si="162"/>
        <v>0</v>
      </c>
      <c r="AV133" s="61">
        <f t="shared" si="162"/>
        <v>378001606</v>
      </c>
      <c r="AW133" s="39">
        <f t="shared" si="113"/>
        <v>0.20760786530985198</v>
      </c>
      <c r="AX133" s="61">
        <f>SUM(AX114:AX132)</f>
        <v>2635663893</v>
      </c>
      <c r="AY133" s="61">
        <f t="shared" ref="AY133:BQ133" si="163">SUM(AY114:AY132)</f>
        <v>0</v>
      </c>
      <c r="AZ133" s="61">
        <f t="shared" si="163"/>
        <v>1398265059</v>
      </c>
      <c r="BA133" s="61">
        <f t="shared" si="163"/>
        <v>21832727</v>
      </c>
      <c r="BB133" s="61">
        <f t="shared" si="163"/>
        <v>61675515</v>
      </c>
      <c r="BC133" s="61">
        <f t="shared" si="163"/>
        <v>0</v>
      </c>
      <c r="BD133" s="61">
        <f t="shared" si="163"/>
        <v>54387</v>
      </c>
      <c r="BE133" s="61">
        <f t="shared" si="163"/>
        <v>30665828</v>
      </c>
      <c r="BF133" s="61">
        <f t="shared" si="163"/>
        <v>1940856</v>
      </c>
      <c r="BG133" s="61">
        <f t="shared" si="163"/>
        <v>0</v>
      </c>
      <c r="BH133" s="61">
        <f t="shared" si="163"/>
        <v>176089445</v>
      </c>
      <c r="BI133" s="61">
        <f t="shared" si="163"/>
        <v>4978784</v>
      </c>
      <c r="BJ133" s="61">
        <f t="shared" si="163"/>
        <v>8983633</v>
      </c>
      <c r="BK133" s="61">
        <f t="shared" si="163"/>
        <v>33084973</v>
      </c>
      <c r="BL133" s="61">
        <f t="shared" si="163"/>
        <v>347296</v>
      </c>
      <c r="BM133" s="61">
        <f t="shared" si="163"/>
        <v>0</v>
      </c>
      <c r="BN133" s="61">
        <f t="shared" si="163"/>
        <v>0</v>
      </c>
      <c r="BO133" s="61">
        <f t="shared" si="163"/>
        <v>667371659</v>
      </c>
      <c r="BP133" s="61">
        <f t="shared" si="163"/>
        <v>0</v>
      </c>
      <c r="BQ133" s="61">
        <f t="shared" si="163"/>
        <v>230373731</v>
      </c>
      <c r="BR133" s="39">
        <f t="shared" si="119"/>
        <v>0.79239213469014802</v>
      </c>
      <c r="BS133" s="61">
        <f t="shared" ref="BS133:CI133" si="164">SUM(BS114:BS132)</f>
        <v>10059731289</v>
      </c>
      <c r="BT133" s="61">
        <f t="shared" si="164"/>
        <v>0</v>
      </c>
      <c r="BU133" s="61">
        <f t="shared" si="164"/>
        <v>0</v>
      </c>
      <c r="BV133" s="61">
        <f t="shared" si="164"/>
        <v>5959563249</v>
      </c>
      <c r="BW133" s="61">
        <f t="shared" si="164"/>
        <v>149170600</v>
      </c>
      <c r="BX133" s="61">
        <f t="shared" si="164"/>
        <v>528492581</v>
      </c>
      <c r="BY133" s="61">
        <f t="shared" si="164"/>
        <v>0</v>
      </c>
      <c r="BZ133" s="61">
        <f t="shared" si="164"/>
        <v>0</v>
      </c>
      <c r="CA133" s="61">
        <f t="shared" si="164"/>
        <v>0</v>
      </c>
      <c r="CB133" s="61">
        <f t="shared" si="164"/>
        <v>0</v>
      </c>
      <c r="CC133" s="61">
        <f t="shared" si="164"/>
        <v>3438802</v>
      </c>
      <c r="CD133" s="61">
        <f t="shared" si="164"/>
        <v>169852012</v>
      </c>
      <c r="CE133" s="61">
        <f t="shared" si="164"/>
        <v>0</v>
      </c>
      <c r="CF133" s="61">
        <f t="shared" si="164"/>
        <v>381016367</v>
      </c>
      <c r="CG133" s="61">
        <f t="shared" si="164"/>
        <v>451915027</v>
      </c>
      <c r="CH133" s="61">
        <f t="shared" si="164"/>
        <v>5652704</v>
      </c>
      <c r="CI133" s="61">
        <f t="shared" si="164"/>
        <v>0</v>
      </c>
      <c r="CJ133" s="61"/>
      <c r="CK133" s="61">
        <f>SUM(CK114:CK132)</f>
        <v>2032628341</v>
      </c>
      <c r="CL133" s="61">
        <f>SUM(CL114:CL132)</f>
        <v>0</v>
      </c>
      <c r="CM133" s="61">
        <f>SUM(CM114:CM132)</f>
        <v>378001606</v>
      </c>
      <c r="CN133" s="39">
        <f t="shared" si="121"/>
        <v>0.20760786530985198</v>
      </c>
      <c r="CO133" s="61">
        <f t="shared" ref="CO133:DH133" si="165">SUM(CO114:CO132)</f>
        <v>2635663893</v>
      </c>
      <c r="CP133" s="61">
        <f t="shared" si="165"/>
        <v>0</v>
      </c>
      <c r="CQ133" s="61">
        <f t="shared" si="165"/>
        <v>1398265059</v>
      </c>
      <c r="CR133" s="61">
        <f t="shared" si="165"/>
        <v>21832727</v>
      </c>
      <c r="CS133" s="61">
        <f t="shared" si="165"/>
        <v>61675515</v>
      </c>
      <c r="CT133" s="61">
        <f t="shared" si="165"/>
        <v>0</v>
      </c>
      <c r="CU133" s="61">
        <f t="shared" si="165"/>
        <v>54387</v>
      </c>
      <c r="CV133" s="61">
        <f t="shared" si="165"/>
        <v>30665828</v>
      </c>
      <c r="CW133" s="61">
        <f t="shared" si="165"/>
        <v>1940856</v>
      </c>
      <c r="CX133" s="61">
        <f t="shared" si="165"/>
        <v>0</v>
      </c>
      <c r="CY133" s="61">
        <f t="shared" si="165"/>
        <v>176089445</v>
      </c>
      <c r="CZ133" s="61">
        <f t="shared" si="165"/>
        <v>4978784</v>
      </c>
      <c r="DA133" s="61">
        <f t="shared" si="165"/>
        <v>8983633</v>
      </c>
      <c r="DB133" s="61">
        <f t="shared" si="165"/>
        <v>33084973</v>
      </c>
      <c r="DC133" s="61">
        <f t="shared" si="165"/>
        <v>347296</v>
      </c>
      <c r="DD133" s="61">
        <f t="shared" si="165"/>
        <v>0</v>
      </c>
      <c r="DE133" s="61">
        <f t="shared" si="165"/>
        <v>0</v>
      </c>
      <c r="DF133" s="61">
        <f t="shared" si="165"/>
        <v>667371659</v>
      </c>
      <c r="DG133" s="61">
        <f t="shared" si="165"/>
        <v>0</v>
      </c>
      <c r="DH133" s="61">
        <f t="shared" si="165"/>
        <v>230373731</v>
      </c>
    </row>
    <row r="134" spans="1:112" ht="5.25" customHeight="1" thickTop="1" x14ac:dyDescent="0.25">
      <c r="C134" s="100"/>
      <c r="D134" s="100"/>
      <c r="E134" s="100"/>
      <c r="F134" s="100"/>
      <c r="G134" s="101"/>
      <c r="H134" s="101"/>
      <c r="I134" s="102"/>
      <c r="J134" s="101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4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104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104"/>
      <c r="BS134" s="105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104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</row>
    <row r="135" spans="1:112" ht="19.5" customHeight="1" x14ac:dyDescent="0.25">
      <c r="C135" s="263" t="s">
        <v>372</v>
      </c>
      <c r="D135" s="264"/>
      <c r="E135" s="265"/>
      <c r="F135" s="106"/>
      <c r="G135" s="47">
        <f t="shared" ref="G135:Z135" si="166">G20+G60+G93+G113+G133</f>
        <v>25274746575</v>
      </c>
      <c r="H135" s="47">
        <f t="shared" si="166"/>
        <v>200000000</v>
      </c>
      <c r="I135" s="47">
        <f t="shared" si="166"/>
        <v>10524093099</v>
      </c>
      <c r="J135" s="47">
        <f t="shared" si="166"/>
        <v>171003327</v>
      </c>
      <c r="K135" s="47">
        <f t="shared" si="166"/>
        <v>2601016897</v>
      </c>
      <c r="L135" s="47">
        <f t="shared" si="166"/>
        <v>138372986</v>
      </c>
      <c r="M135" s="47">
        <f t="shared" si="166"/>
        <v>54387</v>
      </c>
      <c r="N135" s="47">
        <f t="shared" si="166"/>
        <v>30665828</v>
      </c>
      <c r="O135" s="47">
        <f t="shared" si="166"/>
        <v>1940856</v>
      </c>
      <c r="P135" s="47">
        <f t="shared" si="166"/>
        <v>3438802</v>
      </c>
      <c r="Q135" s="47">
        <f t="shared" si="166"/>
        <v>345941457</v>
      </c>
      <c r="R135" s="47">
        <f t="shared" si="166"/>
        <v>2356622849</v>
      </c>
      <c r="S135" s="47">
        <f t="shared" si="166"/>
        <v>1142029623</v>
      </c>
      <c r="T135" s="47">
        <f t="shared" si="166"/>
        <v>486796640</v>
      </c>
      <c r="U135" s="47">
        <f t="shared" si="166"/>
        <v>1306076765</v>
      </c>
      <c r="V135" s="47">
        <f t="shared" si="166"/>
        <v>1262551657</v>
      </c>
      <c r="W135" s="47">
        <f t="shared" si="166"/>
        <v>101970259</v>
      </c>
      <c r="X135" s="47">
        <f t="shared" si="166"/>
        <v>2700000000</v>
      </c>
      <c r="Y135" s="47">
        <f t="shared" si="166"/>
        <v>204741836</v>
      </c>
      <c r="Z135" s="47">
        <f t="shared" si="166"/>
        <v>1697429307</v>
      </c>
      <c r="AA135" s="107">
        <f>+AB135/G135</f>
        <v>0.83501119983039829</v>
      </c>
      <c r="AB135" s="47">
        <f>AB20+AB60+AB93+AB113+AB133</f>
        <v>21104696463</v>
      </c>
      <c r="AC135" s="47"/>
      <c r="AD135" s="47">
        <f t="shared" ref="AD135:AV135" si="167">AD20+AD60+AD93+AD113+AD133</f>
        <v>193150942</v>
      </c>
      <c r="AE135" s="47">
        <f t="shared" si="167"/>
        <v>8619316167</v>
      </c>
      <c r="AF135" s="47">
        <f t="shared" si="167"/>
        <v>149170600</v>
      </c>
      <c r="AG135" s="47">
        <f t="shared" si="167"/>
        <v>2322982287</v>
      </c>
      <c r="AH135" s="47">
        <f t="shared" si="167"/>
        <v>126368270</v>
      </c>
      <c r="AI135" s="47">
        <f t="shared" si="167"/>
        <v>0</v>
      </c>
      <c r="AJ135" s="47">
        <f t="shared" si="167"/>
        <v>0</v>
      </c>
      <c r="AK135" s="47">
        <f t="shared" si="167"/>
        <v>0</v>
      </c>
      <c r="AL135" s="47">
        <f t="shared" si="167"/>
        <v>3438802</v>
      </c>
      <c r="AM135" s="47">
        <f t="shared" si="167"/>
        <v>169852012</v>
      </c>
      <c r="AN135" s="47">
        <f t="shared" si="167"/>
        <v>1917215673</v>
      </c>
      <c r="AO135" s="47">
        <f t="shared" si="167"/>
        <v>1111858722</v>
      </c>
      <c r="AP135" s="47">
        <f t="shared" si="167"/>
        <v>453711667</v>
      </c>
      <c r="AQ135" s="47">
        <f t="shared" si="167"/>
        <v>1225177858</v>
      </c>
      <c r="AR135" s="47">
        <f t="shared" si="167"/>
        <v>1205496037</v>
      </c>
      <c r="AS135" s="47">
        <f t="shared" si="167"/>
        <v>85302101</v>
      </c>
      <c r="AT135" s="47">
        <f t="shared" si="167"/>
        <v>2032628341</v>
      </c>
      <c r="AU135" s="47">
        <f t="shared" si="167"/>
        <v>111779461</v>
      </c>
      <c r="AV135" s="47">
        <f t="shared" si="167"/>
        <v>1377247523</v>
      </c>
      <c r="AW135" s="108">
        <f>1-AA135</f>
        <v>0.16498880016960171</v>
      </c>
      <c r="AX135" s="47">
        <f t="shared" ref="AX135:BQ135" si="168">AX20+AX60+AX93+AX113+AX133</f>
        <v>4170050112</v>
      </c>
      <c r="AY135" s="47">
        <f t="shared" si="168"/>
        <v>6849058</v>
      </c>
      <c r="AZ135" s="47">
        <f t="shared" si="168"/>
        <v>1904776932</v>
      </c>
      <c r="BA135" s="47">
        <f t="shared" si="168"/>
        <v>21832727</v>
      </c>
      <c r="BB135" s="47">
        <f t="shared" si="168"/>
        <v>278034610</v>
      </c>
      <c r="BC135" s="47">
        <f t="shared" si="168"/>
        <v>12004716</v>
      </c>
      <c r="BD135" s="47">
        <f t="shared" si="168"/>
        <v>54387</v>
      </c>
      <c r="BE135" s="47">
        <f t="shared" si="168"/>
        <v>30665828</v>
      </c>
      <c r="BF135" s="47">
        <f t="shared" si="168"/>
        <v>1940856</v>
      </c>
      <c r="BG135" s="47">
        <f t="shared" si="168"/>
        <v>0</v>
      </c>
      <c r="BH135" s="47">
        <f t="shared" si="168"/>
        <v>176089445</v>
      </c>
      <c r="BI135" s="47">
        <f t="shared" si="168"/>
        <v>439407176</v>
      </c>
      <c r="BJ135" s="47">
        <f t="shared" si="168"/>
        <v>30170901</v>
      </c>
      <c r="BK135" s="47">
        <f t="shared" si="168"/>
        <v>33084973</v>
      </c>
      <c r="BL135" s="47">
        <f t="shared" si="168"/>
        <v>80898907</v>
      </c>
      <c r="BM135" s="47">
        <f t="shared" si="168"/>
        <v>57055620</v>
      </c>
      <c r="BN135" s="47">
        <f t="shared" si="168"/>
        <v>16668158</v>
      </c>
      <c r="BO135" s="47">
        <f t="shared" si="168"/>
        <v>667371659</v>
      </c>
      <c r="BP135" s="47">
        <f t="shared" si="168"/>
        <v>92962375</v>
      </c>
      <c r="BQ135" s="47">
        <f t="shared" si="168"/>
        <v>320181784</v>
      </c>
      <c r="BR135" s="108">
        <f>+BS135/G135</f>
        <v>0.83501119983039829</v>
      </c>
      <c r="BS135" s="47">
        <f t="shared" ref="BS135:CM135" si="169">BS20+BS60+BS93+BS113+BS133</f>
        <v>21104696463</v>
      </c>
      <c r="BT135" s="47">
        <f t="shared" si="169"/>
        <v>0</v>
      </c>
      <c r="BU135" s="47">
        <f t="shared" si="169"/>
        <v>193150942</v>
      </c>
      <c r="BV135" s="47">
        <f t="shared" si="169"/>
        <v>8619316167</v>
      </c>
      <c r="BW135" s="47">
        <f t="shared" si="169"/>
        <v>149170600</v>
      </c>
      <c r="BX135" s="47">
        <f t="shared" si="169"/>
        <v>2322982287</v>
      </c>
      <c r="BY135" s="47">
        <f t="shared" si="169"/>
        <v>126368270</v>
      </c>
      <c r="BZ135" s="47">
        <f t="shared" si="169"/>
        <v>0</v>
      </c>
      <c r="CA135" s="47">
        <f t="shared" si="169"/>
        <v>0</v>
      </c>
      <c r="CB135" s="47">
        <f t="shared" si="169"/>
        <v>0</v>
      </c>
      <c r="CC135" s="47">
        <f t="shared" si="169"/>
        <v>3438802</v>
      </c>
      <c r="CD135" s="47">
        <f t="shared" si="169"/>
        <v>169852012</v>
      </c>
      <c r="CE135" s="47">
        <f t="shared" si="169"/>
        <v>1917215673</v>
      </c>
      <c r="CF135" s="47">
        <f t="shared" si="169"/>
        <v>1111858722</v>
      </c>
      <c r="CG135" s="47">
        <f t="shared" si="169"/>
        <v>453711667</v>
      </c>
      <c r="CH135" s="47">
        <f t="shared" si="169"/>
        <v>1225177858</v>
      </c>
      <c r="CI135" s="47">
        <f t="shared" si="169"/>
        <v>1205496037</v>
      </c>
      <c r="CJ135" s="47">
        <f t="shared" si="169"/>
        <v>85302101</v>
      </c>
      <c r="CK135" s="47">
        <f t="shared" si="169"/>
        <v>2032628341</v>
      </c>
      <c r="CL135" s="47">
        <f t="shared" si="169"/>
        <v>111779461</v>
      </c>
      <c r="CM135" s="47">
        <f t="shared" si="169"/>
        <v>1377247523</v>
      </c>
      <c r="CN135" s="25">
        <f>1-BR135</f>
        <v>0.16498880016960171</v>
      </c>
      <c r="CO135" s="47">
        <f t="shared" ref="CO135:DH135" si="170">CO20+CO60+CO93+CO113+CO133</f>
        <v>4170050112</v>
      </c>
      <c r="CP135" s="47">
        <f t="shared" si="170"/>
        <v>6849058</v>
      </c>
      <c r="CQ135" s="47">
        <f t="shared" si="170"/>
        <v>1904776932</v>
      </c>
      <c r="CR135" s="47">
        <f t="shared" si="170"/>
        <v>21832727</v>
      </c>
      <c r="CS135" s="47">
        <f t="shared" si="170"/>
        <v>278034610</v>
      </c>
      <c r="CT135" s="47">
        <f t="shared" si="170"/>
        <v>12004716</v>
      </c>
      <c r="CU135" s="47">
        <f t="shared" si="170"/>
        <v>54387</v>
      </c>
      <c r="CV135" s="47">
        <f t="shared" si="170"/>
        <v>30665828</v>
      </c>
      <c r="CW135" s="47">
        <f t="shared" si="170"/>
        <v>1940856</v>
      </c>
      <c r="CX135" s="47">
        <f t="shared" si="170"/>
        <v>0</v>
      </c>
      <c r="CY135" s="47">
        <f t="shared" si="170"/>
        <v>176089445</v>
      </c>
      <c r="CZ135" s="47">
        <f t="shared" si="170"/>
        <v>439407176</v>
      </c>
      <c r="DA135" s="47">
        <f t="shared" si="170"/>
        <v>30170901</v>
      </c>
      <c r="DB135" s="47">
        <f t="shared" si="170"/>
        <v>33084973</v>
      </c>
      <c r="DC135" s="47">
        <f t="shared" si="170"/>
        <v>80898907</v>
      </c>
      <c r="DD135" s="47">
        <f t="shared" si="170"/>
        <v>57055620</v>
      </c>
      <c r="DE135" s="47">
        <f t="shared" si="170"/>
        <v>16668158</v>
      </c>
      <c r="DF135" s="47">
        <f t="shared" si="170"/>
        <v>667371659</v>
      </c>
      <c r="DG135" s="47">
        <f t="shared" si="170"/>
        <v>92962375</v>
      </c>
      <c r="DH135" s="47">
        <f t="shared" si="170"/>
        <v>320181784</v>
      </c>
    </row>
    <row r="136" spans="1:112" ht="5.25" customHeight="1" x14ac:dyDescent="0.25">
      <c r="C136" s="109"/>
      <c r="D136" s="109"/>
      <c r="E136" s="110"/>
      <c r="F136" s="110"/>
      <c r="G136" s="111"/>
      <c r="H136" s="111"/>
      <c r="I136" s="112"/>
      <c r="J136" s="111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4"/>
      <c r="AB136" s="115"/>
      <c r="AC136" s="115"/>
      <c r="AD136" s="115"/>
      <c r="AE136" s="115"/>
      <c r="AF136" s="115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4"/>
      <c r="AX136" s="115"/>
      <c r="AY136" s="115"/>
      <c r="AZ136" s="115"/>
      <c r="BA136" s="115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4"/>
      <c r="BS136" s="117"/>
      <c r="BT136" s="118"/>
      <c r="BU136" s="118"/>
      <c r="BV136" s="118"/>
      <c r="BW136" s="118"/>
      <c r="BX136" s="113"/>
      <c r="BY136" s="113"/>
      <c r="BZ136" s="113"/>
      <c r="CA136" s="113"/>
      <c r="CB136" s="113"/>
      <c r="CC136" s="113"/>
      <c r="CD136" s="113"/>
      <c r="CE136" s="113"/>
      <c r="CF136" s="113"/>
      <c r="CG136" s="113"/>
      <c r="CH136" s="113"/>
      <c r="CI136" s="113"/>
      <c r="CJ136" s="113"/>
      <c r="CK136" s="113"/>
      <c r="CL136" s="113"/>
      <c r="CM136" s="113"/>
      <c r="CN136" s="25"/>
      <c r="CO136" s="119"/>
      <c r="CP136" s="115"/>
      <c r="CQ136" s="115"/>
      <c r="CR136" s="115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</row>
    <row r="137" spans="1:112" ht="16.5" customHeight="1" x14ac:dyDescent="0.25">
      <c r="C137" s="120"/>
      <c r="D137" s="121" t="s">
        <v>373</v>
      </c>
      <c r="E137" s="114">
        <v>111</v>
      </c>
      <c r="F137" s="122"/>
      <c r="G137" s="123">
        <f>SUMIF($E$4:$E$132,"111",$G$4:$G$132)</f>
        <v>4844937690</v>
      </c>
      <c r="H137" s="124">
        <f>SUMIF($E$4:$E$133,"111",$H$4:$H$133)</f>
        <v>0</v>
      </c>
      <c r="I137" s="124">
        <f>SUMIF($E$4:$E$133,"111",$I$4:$I$133)</f>
        <v>4130647071</v>
      </c>
      <c r="J137" s="123">
        <f>SUMIF($E$4:$E$132,"111",$J$4:$J$132)</f>
        <v>171003327</v>
      </c>
      <c r="K137" s="122">
        <f>SUMIF($E$4:$E$133,"111",$K$4:$K$133)</f>
        <v>0</v>
      </c>
      <c r="L137" s="122">
        <f>SUMIF($E$4:$E$132,"111",$L$4:$L$132)</f>
        <v>0</v>
      </c>
      <c r="M137" s="122">
        <f>SUMIF($E$4:$E$132,"111",$M$4:$M$132)</f>
        <v>54387</v>
      </c>
      <c r="N137" s="122">
        <f>SUMIF($E$4:$E$132,"111",$N$4:$N$132)</f>
        <v>30665828</v>
      </c>
      <c r="O137" s="122">
        <f>SUMIF($E$4:$E$132,"111",$O$4:$O$132)</f>
        <v>1940856</v>
      </c>
      <c r="P137" s="122">
        <f>SUMIF($E$4:$E$132,"111",$P$4:$P$132)</f>
        <v>3438802</v>
      </c>
      <c r="Q137" s="122">
        <f>SUMIF($E$4:$E$132,"111",$Q$4:$Q$132)</f>
        <v>250509069</v>
      </c>
      <c r="R137" s="122">
        <f>SUMIF($E$4:$E$132,"111",$R$4:$R$132)</f>
        <v>0</v>
      </c>
      <c r="S137" s="122">
        <f>SUMIF($E$4:$E$132,"111",$S$4:$S$132)</f>
        <v>0</v>
      </c>
      <c r="T137" s="122">
        <f>SUMIF($E$4:$E$132,"111",$T$4:$T$132)</f>
        <v>0</v>
      </c>
      <c r="U137" s="122">
        <f>SUMIF($E$4:$E$132,"111",$U$4:$U$132)</f>
        <v>0</v>
      </c>
      <c r="V137" s="122">
        <f>SUMIF($E$4:$E$132,"111",$V$4:$V$132)</f>
        <v>0</v>
      </c>
      <c r="W137" s="122"/>
      <c r="X137" s="122">
        <f>SUMIF($E$4:$E$132,"111",$X$4:$X$132)</f>
        <v>0</v>
      </c>
      <c r="Y137" s="122">
        <f>SUMIF($E$4:$E$132,"111",$Y$4:$Y$132)</f>
        <v>0</v>
      </c>
      <c r="Z137" s="122">
        <f>SUMIF($E$4:$E$132,"111",$Z$4:$Z$132)</f>
        <v>256678350</v>
      </c>
      <c r="AA137" s="125">
        <f t="shared" ref="AA137:AA146" si="171">+AB137/G137</f>
        <v>0.78845668642644606</v>
      </c>
      <c r="AB137" s="28">
        <f t="shared" ref="AB137:AB142" si="172">SUM(AD137:AV137)</f>
        <v>3820023517</v>
      </c>
      <c r="AC137" s="123">
        <f>SUMIF($E$4:$E$132,"111",$AC$4:$AC$132)</f>
        <v>0</v>
      </c>
      <c r="AD137" s="123">
        <f>SUMIF($E$4:$E$132,"111",$AD$4:$AD$132)</f>
        <v>0</v>
      </c>
      <c r="AE137" s="123">
        <f>SUMIF($E$4:$E$132,"111",$AE$4:$AE$132)</f>
        <v>3454613624</v>
      </c>
      <c r="AF137" s="123">
        <f>SUMIF($E$4:$E$132,"111",$AF$4:$AF$132)</f>
        <v>149170600</v>
      </c>
      <c r="AG137" s="123">
        <f>SUMIF($E$4:$E$132,"111",$AG$4:$AG$132)</f>
        <v>0</v>
      </c>
      <c r="AH137" s="123">
        <f>SUMIF($E$4:$E$132,"111",$AH$4:$AH$132)</f>
        <v>0</v>
      </c>
      <c r="AI137" s="123">
        <f>SUMIF($E$4:$E$132,"111",$AI$4:$AI$132)</f>
        <v>0</v>
      </c>
      <c r="AJ137" s="123">
        <f>SUMIF($E$4:$E$132,"111",$AJ$4:$AJ$132)</f>
        <v>0</v>
      </c>
      <c r="AK137" s="123">
        <f>SUMIF($E$4:$E$132,"111",$AK$4:$AK$132)</f>
        <v>0</v>
      </c>
      <c r="AL137" s="123">
        <f>SUMIF($E$4:$E$132,"111",$AL$4:$AL$132)</f>
        <v>3438802</v>
      </c>
      <c r="AM137" s="123">
        <f>SUMIF($E$4:$E$132,"111",$AM$4:$AM$132)</f>
        <v>84852012</v>
      </c>
      <c r="AN137" s="123">
        <f>SUMIF($E$4:$E$132,"111",$AN$4:$AN$132)</f>
        <v>0</v>
      </c>
      <c r="AO137" s="123">
        <f>SUMIF($E$4:$E$132,"111",$AO$4:$AO$132)</f>
        <v>0</v>
      </c>
      <c r="AP137" s="123">
        <f>SUMIF($E$4:$E$132,"111",$AP$4:$AP$132)</f>
        <v>0</v>
      </c>
      <c r="AQ137" s="123">
        <f>SUMIF($E$4:$E$132,"111",$AQ$4:$AQ$132)</f>
        <v>0</v>
      </c>
      <c r="AR137" s="123">
        <f>SUMIF($E$4:$E$132,"111",$AQ$4:$AQ$132)</f>
        <v>0</v>
      </c>
      <c r="AS137" s="123">
        <f>SUMIF($E$4:$E$132,"111",$AS$4:$AS$132)</f>
        <v>0</v>
      </c>
      <c r="AT137" s="123">
        <f>SUMIF($E$4:$E$132,"111",$AT$4:$AT$132)</f>
        <v>0</v>
      </c>
      <c r="AU137" s="123">
        <f>SUMIF($E$4:$E$132,"111",$AU$4:$AU$132)</f>
        <v>0</v>
      </c>
      <c r="AV137" s="123">
        <f>SUMIF($E$4:$E$132,"111",$AV$4:$AV$132)</f>
        <v>127948479</v>
      </c>
      <c r="AW137" s="108">
        <f t="shared" ref="AW137:AW146" si="173">1-AA137</f>
        <v>0.21154331357355394</v>
      </c>
      <c r="AX137" s="28">
        <f t="shared" ref="AX137:AX143" si="174">SUM(AY137:BQ137)</f>
        <v>1024914173</v>
      </c>
      <c r="AY137" s="126">
        <f>SUMIF($E$4:$E$132,"111",$AY$4:$AY$132)</f>
        <v>0</v>
      </c>
      <c r="AZ137" s="126">
        <f>SUMIF($E$4:$E$132,"111",$AZ$4:$AZ$132)</f>
        <v>676033447</v>
      </c>
      <c r="BA137" s="126">
        <f>SUMIF($E$4:$E$132,"111",$BA$4:$BA$132)</f>
        <v>21832727</v>
      </c>
      <c r="BB137" s="126">
        <f>SUMIF($E$4:$E$132,"111",$BB$4:$BB$132)</f>
        <v>0</v>
      </c>
      <c r="BC137" s="126">
        <f>SUMIF($E$4:$E$132,"111",$BC$4:$BC$132)</f>
        <v>0</v>
      </c>
      <c r="BD137" s="126">
        <f>SUMIF($E$4:$E$132,"111",$BD$4:$BD$132)</f>
        <v>54387</v>
      </c>
      <c r="BE137" s="126">
        <f>SUMIF($E$4:$E$133,"111",$BE$4:$BE$133)</f>
        <v>30665828</v>
      </c>
      <c r="BF137" s="126">
        <f>SUMIF($E$4:$E$132,"111",$BF$4:$BF$132)</f>
        <v>1940856</v>
      </c>
      <c r="BG137" s="126">
        <f>SUMIF($E$4:$E$132,"111",$BG$4:$BG$132)</f>
        <v>0</v>
      </c>
      <c r="BH137" s="126">
        <f>SUMIF($E$4:$E$132,"111",$BH$4:$BH$132)</f>
        <v>165657057</v>
      </c>
      <c r="BI137" s="126">
        <f>SUMIF($E$4:$E$132,"111",$BI$4:$BI$132)</f>
        <v>0</v>
      </c>
      <c r="BJ137" s="126">
        <f>SUMIF($E$4:$E$132,"111",$BJ$4:$BJ$132)</f>
        <v>0</v>
      </c>
      <c r="BK137" s="126">
        <f>SUMIF($E$4:$E$132,"111",$BK$4:$BK$132)</f>
        <v>0</v>
      </c>
      <c r="BL137" s="126">
        <f>SUMIF($E$4:$E$132,"111",$BL$4:$BL$132)</f>
        <v>0</v>
      </c>
      <c r="BM137" s="126">
        <f>SUMIF($E$4:$E$132,"111",$BM$4:$BM$132)</f>
        <v>0</v>
      </c>
      <c r="BN137" s="126"/>
      <c r="BO137" s="126">
        <f>SUMIF($E$4:$E$132,"111",$BO$4:$BO$132)</f>
        <v>0</v>
      </c>
      <c r="BP137" s="126">
        <f>SUMIF($E$4:$E$132,"111",$BP$4:$BP$132)</f>
        <v>0</v>
      </c>
      <c r="BQ137" s="127">
        <f>SUMIF($E$4:$E$132,"111",$BQ$4:$BQ$132)</f>
        <v>128729871</v>
      </c>
      <c r="BR137" s="128">
        <f t="shared" ref="BR137:BR146" si="175">+BS137/G137</f>
        <v>0.78845668642644606</v>
      </c>
      <c r="BS137" s="33">
        <f t="shared" ref="BS137:BS142" si="176">SUM(BU137:CM137)</f>
        <v>3820023517</v>
      </c>
      <c r="BT137" s="123">
        <f>SUMIF($E$4:$E$132,"111",$BT$4:$BT$132)</f>
        <v>0</v>
      </c>
      <c r="BU137" s="123">
        <f>SUMIF($E$4:$E$132,"111",$BU$4:$BU$132)</f>
        <v>0</v>
      </c>
      <c r="BV137" s="123">
        <f>SUMIF($E$4:$E$132,"111",$BV$4:$BV$132)</f>
        <v>3454613624</v>
      </c>
      <c r="BW137" s="123">
        <f>SUMIF($E$4:$E$132,"111",$BW$4:$BW$132)</f>
        <v>149170600</v>
      </c>
      <c r="BX137" s="123">
        <f>SUMIF($E$4:$E$132,"111",$BX$4:$BX$132)</f>
        <v>0</v>
      </c>
      <c r="BY137" s="123">
        <f>SUMIF($E$4:$E$132,"111",$BY$4:$BY$132)</f>
        <v>0</v>
      </c>
      <c r="BZ137" s="123">
        <f>SUMIF($E$4:$E$132,"111",$BZ$4:$BZ$132)</f>
        <v>0</v>
      </c>
      <c r="CA137" s="123">
        <f>SUMIF($E$4:$E$132,"111",$CA$4:$CA$132)</f>
        <v>0</v>
      </c>
      <c r="CB137" s="123">
        <f>SUMIF($E$4:$E$132,"111",$CB$4:$CB$132)</f>
        <v>0</v>
      </c>
      <c r="CC137" s="123">
        <f>SUMIF($E$4:$E$132,"111",$CC$4:$CC$132)</f>
        <v>3438802</v>
      </c>
      <c r="CD137" s="123">
        <f>SUMIF($E$4:$E$132,"111",$CD$4:$CD$132)</f>
        <v>84852012</v>
      </c>
      <c r="CE137" s="123">
        <f>SUMIF($E$4:$E$132,"111",$CE$4:$CE$132)</f>
        <v>0</v>
      </c>
      <c r="CF137" s="123">
        <f>SUMIF($E$4:$E$132,"111",$CF$4:$CF$132)</f>
        <v>0</v>
      </c>
      <c r="CG137" s="123">
        <f>SUMIF($E$4:$E$132,"111",$CG$4:$CG$132)</f>
        <v>0</v>
      </c>
      <c r="CH137" s="123">
        <f>SUMIF($E$4:$E$132,"111",$CH$4:$CH$132)</f>
        <v>0</v>
      </c>
      <c r="CI137" s="123">
        <f>SUMIF($E$4:$E$132,"111",$CI$4:$CI$132)</f>
        <v>0</v>
      </c>
      <c r="CJ137" s="123">
        <f>SUMIF($E$4:$E$132,"111",$CJ$4:$CJ$132)</f>
        <v>0</v>
      </c>
      <c r="CK137" s="123">
        <f>SUMIF($E$4:$E$132,"111",$CK$4:$CK$132)</f>
        <v>0</v>
      </c>
      <c r="CL137" s="123">
        <f>SUMIF($E$4:$E$132,"111",$CL$4:$CL$132)</f>
        <v>0</v>
      </c>
      <c r="CM137" s="129">
        <f>SUMIF($E$4:$E$132,"111",$CM$4:$CM$132)</f>
        <v>127948479</v>
      </c>
      <c r="CN137" s="25">
        <f t="shared" ref="CN137:CN146" si="177">1-BR137</f>
        <v>0.21154331357355394</v>
      </c>
      <c r="CO137" s="28">
        <f t="shared" ref="CO137:CO143" si="178">SUM(CP137:DH137)</f>
        <v>1024914173</v>
      </c>
      <c r="CP137" s="126">
        <f>SUMIF($E$4:$E$132,"111",$CP$4:$CP$132)</f>
        <v>0</v>
      </c>
      <c r="CQ137" s="126">
        <f>SUMIF($E$4:$E$132,"111",$CQ$4:$CQ$132)</f>
        <v>676033447</v>
      </c>
      <c r="CR137" s="126">
        <f>SUMIF($E$4:$E$132,"111",$CR$4:$CR$132)</f>
        <v>21832727</v>
      </c>
      <c r="CS137" s="126">
        <f>SUMIF($E$4:$E$132,"111",$CS$4:$CS$132)</f>
        <v>0</v>
      </c>
      <c r="CT137" s="126">
        <f>SUMIF($E$4:$E$132,"111",$CT$4:$CT$132)</f>
        <v>0</v>
      </c>
      <c r="CU137" s="126">
        <f>SUMIF($E$4:$E$132,"111",$CU$4:$CU$132)</f>
        <v>54387</v>
      </c>
      <c r="CV137" s="130">
        <f>SUMIF($E$4:$E$132,"111",$CV$4:$CV$132)</f>
        <v>30665828</v>
      </c>
      <c r="CW137" s="130">
        <f>SUMIF($E$4:$E$132,"111",$CW$4:$CW$132)</f>
        <v>1940856</v>
      </c>
      <c r="CX137" s="130">
        <f>SUMIF($E$4:$E$132,"111",$CX$4:$CX$132)</f>
        <v>0</v>
      </c>
      <c r="CY137" s="130">
        <f>SUMIF($E$4:$E$132,"111",$CY$4:$CY$132)</f>
        <v>165657057</v>
      </c>
      <c r="CZ137" s="130">
        <f>SUMIF($E$4:$E$132,"111",$CZ$4:$CZ$132)</f>
        <v>0</v>
      </c>
      <c r="DA137" s="130">
        <f>SUMIF($E$4:$E$132,"111",$DA$4:$DA$132)</f>
        <v>0</v>
      </c>
      <c r="DB137" s="130">
        <f>SUMIF($E$4:$E$132,"111",$DB$4:$DB$132)</f>
        <v>0</v>
      </c>
      <c r="DC137" s="130">
        <f>SUMIF($E$4:$E$132,"111",$DC$4:$DC$132)</f>
        <v>0</v>
      </c>
      <c r="DD137" s="130">
        <f>SUMIF($E$4:$E$132,"111",$DD$4:$DD$132)</f>
        <v>0</v>
      </c>
      <c r="DE137" s="130">
        <f>SUMIF($E$4:$E$132,"111",$DE$4:$DE$132)</f>
        <v>0</v>
      </c>
      <c r="DF137" s="130">
        <f>SUMIF($E$4:$E$132,"111",$DF$4:$DF$132)</f>
        <v>0</v>
      </c>
      <c r="DG137" s="130">
        <f>SUMIF($E$4:$E$132,"111",$DG$4:$DG$132)</f>
        <v>0</v>
      </c>
      <c r="DH137" s="130">
        <f>SUMIF($E$4:$E$132,"111",$DH$4:$DH$132)</f>
        <v>128729871</v>
      </c>
    </row>
    <row r="138" spans="1:112" ht="18" customHeight="1" x14ac:dyDescent="0.25">
      <c r="C138" s="131"/>
      <c r="D138" s="121" t="s">
        <v>374</v>
      </c>
      <c r="E138" s="114">
        <v>211</v>
      </c>
      <c r="F138" s="122"/>
      <c r="G138" s="123">
        <f>SUMIF($E$4:$E$132,"211",$G$4:$G$132)</f>
        <v>4027310612</v>
      </c>
      <c r="H138" s="124">
        <f>SUMIF($E$4:$E$133,"211",$H$4:$H$133)</f>
        <v>0</v>
      </c>
      <c r="I138" s="124">
        <f>SUMIF($E$4:$E$133,"211",$I$4:$I$133)</f>
        <v>3227181237</v>
      </c>
      <c r="J138" s="123">
        <f>SUMIF($E$4:$E$132,"211",$J$4:$J$132)</f>
        <v>0</v>
      </c>
      <c r="K138" s="122">
        <f>SUMIF($E$4:$E$132,"211",$K$4:$K$132)</f>
        <v>0</v>
      </c>
      <c r="L138" s="122">
        <f>SUMIF($E$4:$E$132,"211",$L$4:$L$132)</f>
        <v>0</v>
      </c>
      <c r="M138" s="122">
        <f>SUMIF($E$4:$E$132,"211",$M$4:$M$132)</f>
        <v>0</v>
      </c>
      <c r="N138" s="122">
        <f>SUMIF($E$4:$E$132,"211",$N$4:$N$132)</f>
        <v>0</v>
      </c>
      <c r="O138" s="122">
        <f>SUMIF($E$4:$E$132,"211",$O$4:$O$132)</f>
        <v>0</v>
      </c>
      <c r="P138" s="122">
        <f>SUMIF($E$4:$E$132,"211",$P$4:$P$132)</f>
        <v>0</v>
      </c>
      <c r="Q138" s="122">
        <f>SUMIF($E$4:$E$132,"211",$Q$4:$Q$132)</f>
        <v>95432388</v>
      </c>
      <c r="R138" s="122">
        <f>SUMIF($E$4:$E$132,"211",$R$4:$R$132)</f>
        <v>0</v>
      </c>
      <c r="S138" s="122">
        <f>SUMIF($E$4:$E$132,"211",$S$4:$S$132)</f>
        <v>380000000</v>
      </c>
      <c r="T138" s="122">
        <f>SUMIF($E$4:$E$132,"211",$T$4:$T$132)</f>
        <v>0</v>
      </c>
      <c r="U138" s="122">
        <f>SUMIF($E$4:$E$132,"211",$U$4:$U$132)</f>
        <v>0</v>
      </c>
      <c r="V138" s="122">
        <f>SUMIF($E$4:$E$132,"211",$V$4:$V$132)</f>
        <v>0</v>
      </c>
      <c r="W138" s="122"/>
      <c r="X138" s="122">
        <f>SUMIF($E$4:$E$132,"211",$X$4:$X$132)</f>
        <v>0</v>
      </c>
      <c r="Y138" s="122">
        <f>SUMIF($E$4:$E$132,"211",$Y$4:$Y$132)</f>
        <v>0</v>
      </c>
      <c r="Z138" s="122">
        <f>SUMIF($E$4:$E$132,"211",$Z$4:$Z$132)</f>
        <v>324696987</v>
      </c>
      <c r="AA138" s="125">
        <f t="shared" si="171"/>
        <v>0.79677399886631839</v>
      </c>
      <c r="AB138" s="28">
        <f t="shared" si="172"/>
        <v>3208856381</v>
      </c>
      <c r="AC138" s="123">
        <f>SUMIF($E$4:$E$132,"211",$AC$4:$AC$132)</f>
        <v>0</v>
      </c>
      <c r="AD138" s="123">
        <f>SUMIF($E$4:$E$132,"211",$AD$4:$AD$132)</f>
        <v>0</v>
      </c>
      <c r="AE138" s="123">
        <f>SUMIF($E$4:$E$132,"211",$AE$4:$AE$132)</f>
        <v>2504949625</v>
      </c>
      <c r="AF138" s="123">
        <f>SUMIF($E$4:$E$132,"211",$AF$4:$AF$132)</f>
        <v>0</v>
      </c>
      <c r="AG138" s="123">
        <f>SUMIF($E$4:$E$132,"211",$AG$4:$AG$132)</f>
        <v>0</v>
      </c>
      <c r="AH138" s="123">
        <f>SUMIF($E$4:$E$132,"211",$AH$4:$AH$132)</f>
        <v>0</v>
      </c>
      <c r="AI138" s="123">
        <f>SUMIF($E$4:$E$132,"211",$AI$4:$AI$132)</f>
        <v>0</v>
      </c>
      <c r="AJ138" s="123">
        <f>SUMIF($E$4:$E$132,"211",$AJ$4:$AJ$132)</f>
        <v>0</v>
      </c>
      <c r="AK138" s="123">
        <f>SUMIF($E$4:$E$132,"211",$AK$4:$AK$132)</f>
        <v>0</v>
      </c>
      <c r="AL138" s="123">
        <f>SUMIF($E$4:$E$132,"211",$AL$4:$AL$132)</f>
        <v>0</v>
      </c>
      <c r="AM138" s="123">
        <f>SUMIF($E$4:$E$132,"211",$AM$4:$AM$132)</f>
        <v>85000000</v>
      </c>
      <c r="AN138" s="123">
        <f>SUMIF($E$4:$E$132,"211",$AN$4:$AN$132)</f>
        <v>0</v>
      </c>
      <c r="AO138" s="123">
        <f>SUMIF($E$4:$E$132,"211",$AO$4:$AO$132)</f>
        <v>373440367</v>
      </c>
      <c r="AP138" s="123">
        <f>SUMIF($E$4:$E$132,"211",$AP$4:$AP$132)</f>
        <v>0</v>
      </c>
      <c r="AQ138" s="123">
        <f>SUMIF($E$4:$E$132,"211",$AQ$4:$AQ$132)</f>
        <v>0</v>
      </c>
      <c r="AR138" s="123">
        <f>SUMIF($E$4:$E$132,"211",$AR$4:$AR$132)</f>
        <v>0</v>
      </c>
      <c r="AS138" s="123">
        <f>SUMIF($E$4:$E$132,"211",$AS$4:$AS$132)</f>
        <v>0</v>
      </c>
      <c r="AT138" s="123">
        <f>SUMIF($E$4:$E$132,"211",$AT$4:$AT$132)</f>
        <v>0</v>
      </c>
      <c r="AU138" s="123">
        <f>SUMIF($E$4:$E$132,"211",$AU$4:$AU$132)</f>
        <v>0</v>
      </c>
      <c r="AV138" s="123">
        <f>SUMIF($E$4:$E$132,"211",$AV$4:$AV$132)</f>
        <v>245466389</v>
      </c>
      <c r="AW138" s="108">
        <f t="shared" si="173"/>
        <v>0.20322600113368161</v>
      </c>
      <c r="AX138" s="28">
        <f t="shared" si="174"/>
        <v>818454231</v>
      </c>
      <c r="AY138" s="126">
        <f>SUMIF($E$4:$E$132,"211",$AY$4:$AY$132)</f>
        <v>0</v>
      </c>
      <c r="AZ138" s="126">
        <f>SUMIF($E$4:$E$132,"211",$AZ$4:$AZ$132)</f>
        <v>722231612</v>
      </c>
      <c r="BA138" s="126">
        <f>SUMIF($E$4:$E$132,"211",$BA$4:$BA$132)</f>
        <v>0</v>
      </c>
      <c r="BB138" s="126">
        <f>SUMIF($E$4:$E$132,"211",$BB$4:$BB$132)</f>
        <v>0</v>
      </c>
      <c r="BC138" s="126">
        <f>SUMIF($E$4:$E$132,"211",$BC$4:$BC$132)</f>
        <v>0</v>
      </c>
      <c r="BD138" s="126">
        <f>SUMIF($E$4:$E$132,"211",$BD$4:$BD$132)</f>
        <v>0</v>
      </c>
      <c r="BE138" s="126">
        <f>SUMIF($E$4:$E$132,"211",$BE$4:$BE$132)</f>
        <v>0</v>
      </c>
      <c r="BF138" s="126">
        <f>SUMIF($E$4:$E$132,"211",$BF$4:$BF$132)</f>
        <v>0</v>
      </c>
      <c r="BG138" s="126">
        <f>SUMIF($E$4:$E$132,"211",$BG$4:$BG$132)</f>
        <v>0</v>
      </c>
      <c r="BH138" s="126">
        <f>SUMIF($E$4:$E$132,"211",$BH$4:$BH$132)</f>
        <v>10432388</v>
      </c>
      <c r="BI138" s="126">
        <f>SUMIF($E$4:$E$132,"211",$BI$4:$BI$132)</f>
        <v>0</v>
      </c>
      <c r="BJ138" s="126">
        <f>SUMIF($E$4:$E$132,"211",$BJ$4:$BJ$132)</f>
        <v>6559633</v>
      </c>
      <c r="BK138" s="126">
        <f>SUMIF($E$4:$E$132,"211",$BK$4:$BK$132)</f>
        <v>0</v>
      </c>
      <c r="BL138" s="126">
        <f>SUMIF($E$4:$E$132,"211",$BL$4:$BL$132)</f>
        <v>0</v>
      </c>
      <c r="BM138" s="126">
        <f>SUMIF($E$4:$E$132,"211",$BM$4:$BM$132)</f>
        <v>0</v>
      </c>
      <c r="BN138" s="126"/>
      <c r="BO138" s="126">
        <f>SUMIF($E$4:$E$132,"211",$BO$4:$BO$132)</f>
        <v>0</v>
      </c>
      <c r="BP138" s="126">
        <f>SUMIF($E$4:$E$132,"211",$BP$4:$BP$132)</f>
        <v>0</v>
      </c>
      <c r="BQ138" s="127">
        <f>SUMIF($E$4:$E$132,"211",$BQ$4:$BQ$132)</f>
        <v>79230598</v>
      </c>
      <c r="BR138" s="128">
        <f t="shared" si="175"/>
        <v>0.79677399886631839</v>
      </c>
      <c r="BS138" s="33">
        <f t="shared" si="176"/>
        <v>3208856381</v>
      </c>
      <c r="BT138" s="123">
        <f>SUMIF($E$4:$E$132,"211",$BT$4:$BT$132)</f>
        <v>0</v>
      </c>
      <c r="BU138" s="123">
        <f>SUMIF($E$4:$E$132,"211",$BU$4:$BU$132)</f>
        <v>0</v>
      </c>
      <c r="BV138" s="123">
        <f>SUMIF($E$4:$E$132,"211",$BV$4:$BV$132)</f>
        <v>2504949625</v>
      </c>
      <c r="BW138" s="123">
        <f>SUMIF($E$4:$E$132,"211",$BW$4:$BW$132)</f>
        <v>0</v>
      </c>
      <c r="BX138" s="123">
        <f>SUMIF($E$4:$E$132,"211",$BX$4:$BX$132)</f>
        <v>0</v>
      </c>
      <c r="BY138" s="123">
        <f>SUMIF($E$4:$E$132,"211",$BY$4:$BY$132)</f>
        <v>0</v>
      </c>
      <c r="BZ138" s="123">
        <f>SUMIF($E$4:$E$132,"211",$BZ$4:$BZ$132)</f>
        <v>0</v>
      </c>
      <c r="CA138" s="123">
        <f>SUMIF($E$4:$E$132,"211",$CA$4:$CA$132)</f>
        <v>0</v>
      </c>
      <c r="CB138" s="123">
        <f>SUMIF($E$4:$E$132,"211",$CB$4:$CB$132)</f>
        <v>0</v>
      </c>
      <c r="CC138" s="123">
        <f>SUMIF($E$4:$E$132,"211",$CC$4:$CC$132)</f>
        <v>0</v>
      </c>
      <c r="CD138" s="123">
        <f>SUMIF($E$4:$E$132,"211",$CD$4:$CD$132)</f>
        <v>85000000</v>
      </c>
      <c r="CE138" s="123">
        <f>SUMIF($E$4:$E$132,"211",$CE$4:$CE$132)</f>
        <v>0</v>
      </c>
      <c r="CF138" s="123">
        <f>SUMIF($E$4:$E$132,"211",$CF$4:$CF$132)</f>
        <v>373440367</v>
      </c>
      <c r="CG138" s="123">
        <f>SUMIF($E$4:$E$132,"211",$CG$4:$CG$132)</f>
        <v>0</v>
      </c>
      <c r="CH138" s="123">
        <f>SUMIF($E$4:$E$132,"211",$CH$4:$CH$132)</f>
        <v>0</v>
      </c>
      <c r="CI138" s="123">
        <f>SUMIF($E$4:$E$132,"211",$CI$4:$CI$132)</f>
        <v>0</v>
      </c>
      <c r="CJ138" s="123">
        <f>SUMIF($E$4:$E$132,"211",$CJ$4:$CJ$132)</f>
        <v>0</v>
      </c>
      <c r="CK138" s="123">
        <f>SUMIF($E$4:$E$132,"211",$CK$4:$CK$132)</f>
        <v>0</v>
      </c>
      <c r="CL138" s="123">
        <f>SUMIF($E$4:$E$132,"211",$CL$4:$CL$132)</f>
        <v>0</v>
      </c>
      <c r="CM138" s="129">
        <f>SUMIF($E$4:$E$132,"211",$CM$4:$CM$132)</f>
        <v>245466389</v>
      </c>
      <c r="CN138" s="25">
        <f t="shared" si="177"/>
        <v>0.20322600113368161</v>
      </c>
      <c r="CO138" s="28">
        <f t="shared" ca="1" si="178"/>
        <v>818454231</v>
      </c>
      <c r="CP138" s="126">
        <f ca="1">SUMIF($E$4:$E$133,"211",$CP$4:$CP$132)</f>
        <v>0</v>
      </c>
      <c r="CQ138" s="126">
        <f>SUMIF($E$4:$E$132,"211",$CQ$4:$CQ$132)</f>
        <v>722231612</v>
      </c>
      <c r="CR138" s="126">
        <f>SUMIF($E$4:$E$132,"211",$CR$4:$CR$132)</f>
        <v>0</v>
      </c>
      <c r="CS138" s="126">
        <f>SUMIF($E$4:$E$132,"211",$CS$4:$CS$132)</f>
        <v>0</v>
      </c>
      <c r="CT138" s="126">
        <f>SUMIF($E$4:$E$132,"211",$CT$4:$CT$132)</f>
        <v>0</v>
      </c>
      <c r="CU138" s="126">
        <f>SUMIF($E$4:$E$132,"211",$CU$4:$CU$132)</f>
        <v>0</v>
      </c>
      <c r="CV138" s="130">
        <f>SUMIF($E$4:$E$132,"211",$CV$4:$CV$132)</f>
        <v>0</v>
      </c>
      <c r="CW138" s="130">
        <f>SUMIF($E$4:$E$132,"211",$CW$4:$CW$132)</f>
        <v>0</v>
      </c>
      <c r="CX138" s="130">
        <f>SUMIF($E$4:$E$132,"211",$CX$4:$CX$132)</f>
        <v>0</v>
      </c>
      <c r="CY138" s="130">
        <f>SUMIF($E$4:$E$132,"211",$CY$4:$CY$132)</f>
        <v>10432388</v>
      </c>
      <c r="CZ138" s="130">
        <f>SUMIF($E$4:$E$132,"211",$CZ$4:$CZ$132)</f>
        <v>0</v>
      </c>
      <c r="DA138" s="130">
        <f>SUMIF($E$4:$E$132,"211",$DA$4:$DA$132)</f>
        <v>6559633</v>
      </c>
      <c r="DB138" s="130">
        <f>SUMIF($E$4:$E$132,"211",$DB$4:$DB$132)</f>
        <v>0</v>
      </c>
      <c r="DC138" s="130">
        <f>SUMIF($E$4:$E$132,"211",$DC$4:$DC$132)</f>
        <v>0</v>
      </c>
      <c r="DD138" s="130">
        <f>SUMIF($E$4:$E$132,"211",$DD$4:$DD$132)</f>
        <v>0</v>
      </c>
      <c r="DE138" s="130">
        <f>SUMIF($E$4:$E$132,"211",$DE$4:$DE$132)</f>
        <v>0</v>
      </c>
      <c r="DF138" s="130">
        <f>SUMIF($E$4:$E$132,"211",$DF$4:$DF$132)</f>
        <v>0</v>
      </c>
      <c r="DG138" s="130">
        <f>SUMIF($E$4:$E$132,"211",$DG$4:$DG$132)</f>
        <v>0</v>
      </c>
      <c r="DH138" s="130">
        <f>SUMIF($E$4:$E$132,"211",$DH$4:$DH$132)</f>
        <v>79230598</v>
      </c>
    </row>
    <row r="139" spans="1:112" ht="16.5" customHeight="1" x14ac:dyDescent="0.25">
      <c r="C139" s="131"/>
      <c r="D139" s="121" t="s">
        <v>375</v>
      </c>
      <c r="E139" s="114">
        <v>310</v>
      </c>
      <c r="F139" s="122"/>
      <c r="G139" s="123">
        <f>SUMIF($E$4:$E$132,"310",$G$4:$G$133)</f>
        <v>1070346880</v>
      </c>
      <c r="H139" s="124">
        <f>SUMIF($E$4:$E$132,"310",$H$4:$H$132)</f>
        <v>0</v>
      </c>
      <c r="I139" s="124">
        <f>SUMIF($E$4:$E$132,"310",$I$4:$I$132)</f>
        <v>450000000</v>
      </c>
      <c r="J139" s="123">
        <f>SUMIF($E$4:$E$132,"310",$J$4:$J$132)</f>
        <v>0</v>
      </c>
      <c r="K139" s="122">
        <f>SUMIF($E$4:$E$132,"310",$K$4:$K$132)</f>
        <v>538368096</v>
      </c>
      <c r="L139" s="122">
        <f>SUMIF($E$4:$E$132,"310",$L$4:$L$132)</f>
        <v>0</v>
      </c>
      <c r="M139" s="122">
        <f>SUMIF($E$4:$E$132,"310",$M$4:$M$132)</f>
        <v>0</v>
      </c>
      <c r="N139" s="122">
        <f>SUMIF($E$4:$E$132,"310",$N$4:$N$132)</f>
        <v>0</v>
      </c>
      <c r="O139" s="122">
        <f>SUMIF($E$4:$E$132,"310",$O$4:$O$132)</f>
        <v>0</v>
      </c>
      <c r="P139" s="122">
        <f>SUMIF($E$4:$E$132,"310",$P$4:$P$132)</f>
        <v>0</v>
      </c>
      <c r="Q139" s="122">
        <f>SUMIF($E$4:$E$132,"310",$Q$4:$Q$132)</f>
        <v>0</v>
      </c>
      <c r="R139" s="122">
        <f>SUMIF($E$4:$E$132,"310",$R$4:$R$132)</f>
        <v>4978784</v>
      </c>
      <c r="S139" s="122">
        <f>SUMIF($E$4:$E$132,"310",$S$4:$S$132)</f>
        <v>0</v>
      </c>
      <c r="T139" s="122">
        <f>SUMIF($E$4:$E$132,"310",$T$4:$T$132)</f>
        <v>0</v>
      </c>
      <c r="U139" s="122">
        <f>SUMIF($E$4:$E$132,"310",$U$4:$U$132)</f>
        <v>0</v>
      </c>
      <c r="V139" s="122">
        <f>SUMIF($E$4:$E$124,"310",$V$4:$V$124)</f>
        <v>0</v>
      </c>
      <c r="W139" s="122"/>
      <c r="X139" s="122">
        <f>SUMIF($E$4:$E$132,"310",$X$4:$X$132)</f>
        <v>0</v>
      </c>
      <c r="Y139" s="122">
        <f>SUMIF($E$4:$E$132,"310",$Y$4:$Y$132)</f>
        <v>0</v>
      </c>
      <c r="Z139" s="122">
        <f>SUMIF($E$4:$E$132,"310",$Z$4:$Z$132)</f>
        <v>77000000</v>
      </c>
      <c r="AA139" s="125">
        <f t="shared" si="171"/>
        <v>0.65689658758102798</v>
      </c>
      <c r="AB139" s="33">
        <f t="shared" si="172"/>
        <v>703107213</v>
      </c>
      <c r="AC139" s="123">
        <f>SUMIF($E$4:$E$132,"310",$AC$4:$AC$132)</f>
        <v>0</v>
      </c>
      <c r="AD139" s="123">
        <f>SUMIF($E$4:$E$132,"310",$AD$4:$AD$132)</f>
        <v>0</v>
      </c>
      <c r="AE139" s="123">
        <f>SUMIF($E$4:$E$132,"310",$AE$4:$AE$132)</f>
        <v>240469377</v>
      </c>
      <c r="AF139" s="123">
        <f>SUMIF($E$4:$E$132,"310",$AF$4:$AF$132)</f>
        <v>0</v>
      </c>
      <c r="AG139" s="123">
        <f>SUMIF($E$4:$E$132,"310",$AG$4:$AG$132)</f>
        <v>410290420</v>
      </c>
      <c r="AH139" s="123">
        <f>SUMIF($E$4:$E$132,"310",$AH$4:$AH$132)</f>
        <v>0</v>
      </c>
      <c r="AI139" s="123">
        <f>SUMIF($E$4:$E$132,"310",$AI$4:$AI$132)</f>
        <v>0</v>
      </c>
      <c r="AJ139" s="123">
        <f>SUMIF($E$4:$E$132,"310",$AJ$4:$AJ$132)</f>
        <v>0</v>
      </c>
      <c r="AK139" s="123">
        <f>SUMIF($E$4:$E$132,"310",$AK$4:$AK$132)</f>
        <v>0</v>
      </c>
      <c r="AL139" s="123">
        <f>SUMIF($E$4:$E$132,"310",$AL$4:$AL$132)</f>
        <v>0</v>
      </c>
      <c r="AM139" s="123">
        <f>SUMIF($E$4:$E$132,"310",$AM$4:$AM$132)</f>
        <v>0</v>
      </c>
      <c r="AN139" s="123">
        <f>SUMIF($E$4:$E$132,"310",$AN$4:$AN$132)</f>
        <v>0</v>
      </c>
      <c r="AO139" s="123">
        <f>SUMIF($E$4:$E$132,"310",$AO$4:$AO$132)</f>
        <v>0</v>
      </c>
      <c r="AP139" s="123">
        <f>SUMIF($E$4:$E$132,"310",$AP$4:$AP$132)</f>
        <v>0</v>
      </c>
      <c r="AQ139" s="123">
        <f>SUMIF($E$4:$E$132,"310",$AQ$4:$AQ$132)</f>
        <v>0</v>
      </c>
      <c r="AR139" s="123">
        <f>SUMIF($E$4:$E$132,"310",$AR$4:$AR$132)</f>
        <v>0</v>
      </c>
      <c r="AS139" s="123">
        <f>SUMIF($E$4:$E$132,"310",$AS$4:$AS$132)</f>
        <v>0</v>
      </c>
      <c r="AT139" s="123">
        <f>SUMIF($E$4:$E$132,"310",$AT$4:$AT$132)</f>
        <v>0</v>
      </c>
      <c r="AU139" s="123">
        <f>SUMIF($E$4:$E$132,"310",$AU$4:$AU$132)</f>
        <v>0</v>
      </c>
      <c r="AV139" s="123">
        <f>SUMIF($E$4:$E$132,"310",$AV$4:$AV$132)</f>
        <v>52347416</v>
      </c>
      <c r="AW139" s="108">
        <f t="shared" si="173"/>
        <v>0.34310341241897202</v>
      </c>
      <c r="AX139" s="28">
        <f t="shared" si="174"/>
        <v>367239667</v>
      </c>
      <c r="AY139" s="126">
        <f>SUMIF($E$4:$E$132,"310",$AY$4:$AY$132)</f>
        <v>0</v>
      </c>
      <c r="AZ139" s="126">
        <f>SUMIF($E$4:$E$132,"310",$AZ$4:$AZ$132)</f>
        <v>209530623</v>
      </c>
      <c r="BA139" s="126">
        <f>SUMIF($E$4:$E$132,"310",$BA$4:$BA$132)</f>
        <v>0</v>
      </c>
      <c r="BB139" s="126">
        <f>SUMIF($E$4:$E$132,"310",$BB$4:$BB$132)</f>
        <v>128077676</v>
      </c>
      <c r="BC139" s="126">
        <f>SUMIF($E$4:$E$132,"310",$BC$4:$BC$132)</f>
        <v>0</v>
      </c>
      <c r="BD139" s="126">
        <f>SUMIF($E$4:$E$132,"310",$BD$4:$BD$132)</f>
        <v>0</v>
      </c>
      <c r="BE139" s="126">
        <f>SUMIF($E$4:$E$132,"310",$BE$4:$BE$132)</f>
        <v>0</v>
      </c>
      <c r="BF139" s="126">
        <f>SUMIF($E$4:$E$132,"310",$BF$4:$BF$132)</f>
        <v>0</v>
      </c>
      <c r="BG139" s="126">
        <f>SUMIF($E$4:$E$132,"310",$BG$4:$BG$132)</f>
        <v>0</v>
      </c>
      <c r="BH139" s="126">
        <f>SUMIF($E$4:$E$132,"310",$BH$4:$BH$132)</f>
        <v>0</v>
      </c>
      <c r="BI139" s="126">
        <f>SUMIF($E$4:$E$132,"310",$BI$4:$BI$132)</f>
        <v>4978784</v>
      </c>
      <c r="BJ139" s="126">
        <f>SUMIF($E$4:$E$132,"310",$BJ$4:$BJ$132)</f>
        <v>0</v>
      </c>
      <c r="BK139" s="126">
        <f>SUMIF($E$4:$E$132,"310",$BK$4:$BK$132)</f>
        <v>0</v>
      </c>
      <c r="BL139" s="126">
        <f>SUMIF($E$4:$E$132,"310",$BL$4:$BL$132)</f>
        <v>0</v>
      </c>
      <c r="BM139" s="126">
        <f>SUMIF($E$4:$E$132,"310",$BM$4:$BM$132)</f>
        <v>0</v>
      </c>
      <c r="BN139" s="126">
        <f>SUMIF($E$4:$E$132,"310",$BM$4:$BM$132)</f>
        <v>0</v>
      </c>
      <c r="BO139" s="126">
        <f>SUMIF($E$4:$E$132,"310",$BO$4:$BO$132)</f>
        <v>0</v>
      </c>
      <c r="BP139" s="126">
        <f>SUMIF($E$4:$E$132,"310",$BP$4:$BP$132)</f>
        <v>0</v>
      </c>
      <c r="BQ139" s="127">
        <f>SUMIF($E$4:$E$132,"310",$BQ$4:$BQ$132)</f>
        <v>24652584</v>
      </c>
      <c r="BR139" s="128">
        <f t="shared" si="175"/>
        <v>0.65689658758102798</v>
      </c>
      <c r="BS139" s="33">
        <f t="shared" si="176"/>
        <v>703107213</v>
      </c>
      <c r="BT139" s="123">
        <f>SUMIF($E$4:$E$132,"310",$BT$4:$BT$132)</f>
        <v>0</v>
      </c>
      <c r="BU139" s="123">
        <f>SUMIF($E$4:$E$132,"310",$BU$4:$BU$132)</f>
        <v>0</v>
      </c>
      <c r="BV139" s="123">
        <f>SUMIF($E$4:$E$132,"310",$BV$4:$BV$132)</f>
        <v>240469377</v>
      </c>
      <c r="BW139" s="123">
        <f>SUMIF($E$4:$E$132,"310",$BW$4:$BW$132)</f>
        <v>0</v>
      </c>
      <c r="BX139" s="123">
        <f>SUMIF($E$4:$E$132,"310",$BX$4:$BX$132)</f>
        <v>410290420</v>
      </c>
      <c r="BY139" s="123">
        <f>SUMIF($E$4:$E$132,"310",$BY$4:$BY$132)</f>
        <v>0</v>
      </c>
      <c r="BZ139" s="123">
        <f>SUMIF($E$4:$E$132,"310",$BZ$4:$BZ$132)</f>
        <v>0</v>
      </c>
      <c r="CA139" s="123">
        <f>SUMIF($E$4:$E$132,"310",$CA$4:$CA$132)</f>
        <v>0</v>
      </c>
      <c r="CB139" s="123">
        <f>SUMIF($E$4:$E$132,"310",$CB$4:$CB$132)</f>
        <v>0</v>
      </c>
      <c r="CC139" s="123">
        <f>SUMIF($E$4:$E$132,"310",$CC$4:$CC$132)</f>
        <v>0</v>
      </c>
      <c r="CD139" s="123">
        <f>SUMIF($E$4:$E$132,"310",$CD$4:$CD$132)</f>
        <v>0</v>
      </c>
      <c r="CE139" s="123">
        <f>SUMIF($E$4:$E$132,"310",$CE$4:$CE$132)</f>
        <v>0</v>
      </c>
      <c r="CF139" s="123">
        <f>SUMIF($E$4:$E$132,"310",$CF$4:$CF$132)</f>
        <v>0</v>
      </c>
      <c r="CG139" s="123">
        <f>SUMIF($E$4:$E$132,"310",$CG$4:$CG$132)</f>
        <v>0</v>
      </c>
      <c r="CH139" s="123">
        <f>SUMIF($E$4:$E$132,"310",$CH$4:$CH$132)</f>
        <v>0</v>
      </c>
      <c r="CI139" s="123">
        <f>SUMIF($E$4:$E$132,"310",$CI$4:$CI$132)</f>
        <v>0</v>
      </c>
      <c r="CJ139" s="123">
        <f>SUMIF($E$4:$E$132,"310",$CJ$4:$CJ$132)</f>
        <v>0</v>
      </c>
      <c r="CK139" s="123">
        <f>SUMIF($E$4:$E$132,"310",$CK$4:$CK$132)</f>
        <v>0</v>
      </c>
      <c r="CL139" s="123">
        <f>SUMIF($E$4:$E$132,"310",$CL$4:$CL$132)</f>
        <v>0</v>
      </c>
      <c r="CM139" s="129">
        <f>SUMIF($E$4:$E$132,"310",$CM$4:$CM$132)</f>
        <v>52347416</v>
      </c>
      <c r="CN139" s="25">
        <f t="shared" si="177"/>
        <v>0.34310341241897202</v>
      </c>
      <c r="CO139" s="28">
        <f t="shared" si="178"/>
        <v>367239667</v>
      </c>
      <c r="CP139" s="126">
        <f>SUMIF($E$4:$E$132,"310",$CP$4:$CP$132)</f>
        <v>0</v>
      </c>
      <c r="CQ139" s="126">
        <f>SUMIF($E$4:$E$132,"310",$CQ$4:$CQ$132)</f>
        <v>209530623</v>
      </c>
      <c r="CR139" s="126">
        <f>SUMIF($E$4:$E$132,"310",$CR$4:$CR$132)</f>
        <v>0</v>
      </c>
      <c r="CS139" s="126">
        <f>SUMIF($E$4:$E$132,"310",$CS$4:$CS$132)</f>
        <v>128077676</v>
      </c>
      <c r="CT139" s="126">
        <f>SUMIF($E$4:$E$132,"310",$CT$4:$CT$132)</f>
        <v>0</v>
      </c>
      <c r="CU139" s="126">
        <f>SUMIF($E$4:$E$132,"310",$CU$4:$CU$132)</f>
        <v>0</v>
      </c>
      <c r="CV139" s="130">
        <f>SUMIF($E$4:$E$132,"310",$CV$4:$CV$132)</f>
        <v>0</v>
      </c>
      <c r="CW139" s="130">
        <f>SUMIF($E$4:$E$132,"310",$CW$4:$CW$132)</f>
        <v>0</v>
      </c>
      <c r="CX139" s="130">
        <f>SUMIF($E$4:$E$132,"310",$CX$4:$CX$132)</f>
        <v>0</v>
      </c>
      <c r="CY139" s="130">
        <f>SUMIF($E$4:$E$132,"310",$CY$4:$CY$132)</f>
        <v>0</v>
      </c>
      <c r="CZ139" s="130">
        <f>SUMIF($E$4:$E$132,"310",$CZ$4:$CZ$132)</f>
        <v>4978784</v>
      </c>
      <c r="DA139" s="130">
        <f>SUMIF($E$4:$E$132,"310",$DA$4:$DA$132)</f>
        <v>0</v>
      </c>
      <c r="DB139" s="130">
        <f>SUMIF($E$4:$E$132,"310",$DB$4:$DB$132)</f>
        <v>0</v>
      </c>
      <c r="DC139" s="130">
        <f>SUMIF($E$4:$E$132,"310",$DC$4:$DC$132)</f>
        <v>0</v>
      </c>
      <c r="DD139" s="130">
        <f>SUMIF($E$4:$E$132,"310",$DD$4:$DD$132)</f>
        <v>0</v>
      </c>
      <c r="DE139" s="130">
        <f>SUMIF($E$4:$E$132,"310",$DE$4:$DE$132)</f>
        <v>0</v>
      </c>
      <c r="DF139" s="130">
        <f>SUMIF($E$4:$E$132,"310",$DF$4:$DF$132)</f>
        <v>0</v>
      </c>
      <c r="DG139" s="130">
        <f>SUMIF($E$4:$E$132,"310",$DG$4:$DG$132)</f>
        <v>0</v>
      </c>
      <c r="DH139" s="130">
        <f>SUMIF($E$4:$E$132,"310",$DH$4:$DH$132)</f>
        <v>24652584</v>
      </c>
    </row>
    <row r="140" spans="1:112" x14ac:dyDescent="0.25">
      <c r="C140" s="132"/>
      <c r="D140" s="121" t="s">
        <v>376</v>
      </c>
      <c r="E140" s="114">
        <v>410</v>
      </c>
      <c r="F140" s="122"/>
      <c r="G140" s="123">
        <f>SUMIF($E$4:$E$132,"410",$G$4:$G$132)</f>
        <v>6304612321</v>
      </c>
      <c r="H140" s="124">
        <f>SUMIF($E$4:$E$132,"410",$H$4:$H$132)</f>
        <v>0</v>
      </c>
      <c r="I140" s="124">
        <f>SUMIF($E$4:$E$133,"410",$I$4:$I$133)</f>
        <v>2263096695</v>
      </c>
      <c r="J140" s="123">
        <f>SUMIF($E$4:$E$132,"410",$J$4:$J$132)</f>
        <v>0</v>
      </c>
      <c r="K140" s="122">
        <f>SUMIF($E$4:$E$132,"410",$K$4:$K$132)</f>
        <v>0</v>
      </c>
      <c r="L140" s="122">
        <f>SUMIF($E$4:$E$132,"410",$L$4:$L$132)</f>
        <v>74368590</v>
      </c>
      <c r="M140" s="122">
        <f>SUMIF($E$4:$E$132,"410",$M$4:$M$132)</f>
        <v>0</v>
      </c>
      <c r="N140" s="122">
        <f>SUMIF($E$4:$E$132,"410",$N$4:$N$132)</f>
        <v>0</v>
      </c>
      <c r="O140" s="122">
        <f>SUMIF($E$4:$E$132,"410",$O$4:$O$132)</f>
        <v>0</v>
      </c>
      <c r="P140" s="122">
        <f>SUMIF($E$4:$E$132,"410",$P$4:$P$132)</f>
        <v>0</v>
      </c>
      <c r="Q140" s="122">
        <f>SUMIF($E$4:$E$132,"410",$Q$4:$Q$132)</f>
        <v>0</v>
      </c>
      <c r="R140" s="122">
        <f>SUMIF($E$4:$E$132,"410",$R$4:$R$132)</f>
        <v>2107644065</v>
      </c>
      <c r="S140" s="122">
        <f>SUMIF($E$4:$E$132,"410",$S$4:$S$132)</f>
        <v>387696735</v>
      </c>
      <c r="T140" s="122">
        <f>SUMIF($E$4:$E$132,"410",$T$4:$T$132)</f>
        <v>0</v>
      </c>
      <c r="U140" s="122">
        <f>SUMIF($E$4:$E$124,"410",$U$4:$U$124)</f>
        <v>1054833768</v>
      </c>
      <c r="V140" s="122">
        <f>SUMIF($E$4:$E$124,"410",$V$4:$V$124)</f>
        <v>0</v>
      </c>
      <c r="W140" s="122">
        <f>SUMIF($E$4:$E$132,"410",$W$4:$W$132)</f>
        <v>101970259</v>
      </c>
      <c r="X140" s="122">
        <f>SUMIF($E$4:$E$132,"410",$X$4:$X$132)</f>
        <v>0</v>
      </c>
      <c r="Y140" s="122">
        <f>SUMIF($E$4:$E$132,"410",$Y$4:$Y$132)</f>
        <v>204741836</v>
      </c>
      <c r="Z140" s="122">
        <f>SUMIF($E$4:$E$132,"410",$Z$4:$Z$132)</f>
        <v>110260373</v>
      </c>
      <c r="AA140" s="125">
        <f t="shared" si="171"/>
        <v>0.86761253658375426</v>
      </c>
      <c r="AB140" s="28">
        <f t="shared" si="172"/>
        <v>5469960688</v>
      </c>
      <c r="AC140" s="123">
        <f>SUMIF($E$4:$E$132,"410",$AC$4:$AC$132)</f>
        <v>0</v>
      </c>
      <c r="AD140" s="123">
        <f>SUMIF($E$4:$E$132,"410",$AD$4:$AD$132)</f>
        <v>0</v>
      </c>
      <c r="AE140" s="123">
        <f>SUMIF($E$4:$E$132,"410",$AE$4:$AE$132)</f>
        <v>2041432876</v>
      </c>
      <c r="AF140" s="123">
        <f>SUMIF($E$4:$E$132,"410",$AF$4:$AF$132)</f>
        <v>0</v>
      </c>
      <c r="AG140" s="123">
        <f>SUMIF($E$4:$E$132,"410",$AG$4:$AG$132)</f>
        <v>0</v>
      </c>
      <c r="AH140" s="123">
        <f>SUMIF($E$4:$E$132,"410",$AH$4:$AH$132)</f>
        <v>62566149</v>
      </c>
      <c r="AI140" s="123">
        <f>SUMIF($E$4:$E$132,"410",$AI$4:$AI$132)</f>
        <v>0</v>
      </c>
      <c r="AJ140" s="123">
        <f>SUMIF($E$4:$E$132,"410",$AJ$4:$AJ$132)</f>
        <v>0</v>
      </c>
      <c r="AK140" s="123">
        <f>SUMIF($E$4:$E$132,"410",$AK$4:$AK$132)</f>
        <v>0</v>
      </c>
      <c r="AL140" s="123">
        <f>SUMIF($E$4:$E$132,"410",$AL$4:$AL$132)</f>
        <v>0</v>
      </c>
      <c r="AM140" s="123">
        <f>SUMIF($E$4:$E$132,"410",$AM$4:$AM$132)</f>
        <v>0</v>
      </c>
      <c r="AN140" s="123">
        <f>SUMIF($E$4:$E$132,"410",$AN$4:$AN$132)</f>
        <v>1702567793</v>
      </c>
      <c r="AO140" s="123">
        <f>SUMIF($E$4:$E$132,"410",$AO$4:$AO$132)</f>
        <v>385950453</v>
      </c>
      <c r="AP140" s="123">
        <f>SUMIF($E$4:$E$132,"410",$AP$4:$AP$132)</f>
        <v>0</v>
      </c>
      <c r="AQ140" s="123">
        <f>SUMIF($E$4:$E$132,"410",$AQ$4:$AQ$132)</f>
        <v>988088149</v>
      </c>
      <c r="AR140" s="123">
        <f>SUMIF($E$4:$E$132,"410",$AR$4:$AR$132)</f>
        <v>0</v>
      </c>
      <c r="AS140" s="123">
        <f>SUMIF($E$4:$E$132,"410",$AS$4:$AS$132)</f>
        <v>85302101</v>
      </c>
      <c r="AT140" s="123">
        <f>SUMIF($E$4:$E$132,"410",$AT$4:$AT$132)</f>
        <v>0</v>
      </c>
      <c r="AU140" s="123">
        <f>SUMIF($E$4:$E$132,"410",$AU$4:$AU$132)</f>
        <v>111779461</v>
      </c>
      <c r="AV140" s="123">
        <f>SUMIF($E$4:$E$132,"410",$AV$4:$AV$132)</f>
        <v>92273706</v>
      </c>
      <c r="AW140" s="108">
        <f t="shared" si="173"/>
        <v>0.13238746341624574</v>
      </c>
      <c r="AX140" s="28">
        <f t="shared" si="174"/>
        <v>834651633</v>
      </c>
      <c r="AY140" s="126">
        <f>SUMIF($E$4:$E$132,"410",$AY$4:$AY$132)</f>
        <v>0</v>
      </c>
      <c r="AZ140" s="126">
        <f>SUMIF($E$4:$E$132,"410",$AZ$4:$AZ$132)</f>
        <v>221663819</v>
      </c>
      <c r="BA140" s="126">
        <f>SUMIF($E$4:$E$132,"410",$BA$4:$BA$132)</f>
        <v>0</v>
      </c>
      <c r="BB140" s="126">
        <f>SUMIF($E$4:$E$132,"410",$BB$4:$BB$132)</f>
        <v>0</v>
      </c>
      <c r="BC140" s="126">
        <f>SUMIF($E$4:$E$132,"410",$BC$4:$BC$132)</f>
        <v>11802441</v>
      </c>
      <c r="BD140" s="126">
        <f>SUMIF($E$4:$E$132,"410",$BD$4:$BD$132)</f>
        <v>0</v>
      </c>
      <c r="BE140" s="126">
        <f>SUMIF($E$4:$E$132,"410",$BE$4:$BE$132)</f>
        <v>0</v>
      </c>
      <c r="BF140" s="126">
        <f>SUMIF($E$4:$E$132,"410",$BF$4:$BF$132)</f>
        <v>0</v>
      </c>
      <c r="BG140" s="126">
        <f>SUMIF($E$4:$E$132,"410",$BG$4:$BG$132)</f>
        <v>0</v>
      </c>
      <c r="BH140" s="126">
        <f>SUMIF($E$4:$E$132,"410",$BH$4:$BH$132)</f>
        <v>0</v>
      </c>
      <c r="BI140" s="126">
        <f>SUMIF($E$4:$E$132,"410",$BI$4:$BI$132)</f>
        <v>405076272</v>
      </c>
      <c r="BJ140" s="126">
        <f>SUMIF($E$4:$E$132,"410",$BJ$4:$BJ$132)</f>
        <v>1746282</v>
      </c>
      <c r="BK140" s="126">
        <f>SUMIF($E$4:$E$132,"410",$BK$4:$BK$132)</f>
        <v>0</v>
      </c>
      <c r="BL140" s="126">
        <f>SUMIF($E$4:$E$132,"410",$BL$4:$BL$132)</f>
        <v>66745619</v>
      </c>
      <c r="BM140" s="126">
        <f>SUMIF($E$4:$E$132,"510",$BM$4:$BM$132)</f>
        <v>0</v>
      </c>
      <c r="BN140" s="126">
        <f>SUMIF($E$4:$E$132,"410",$BN$4:$BN$132)</f>
        <v>16668158</v>
      </c>
      <c r="BO140" s="126">
        <f>SUMIF($E$4:$E$132,"410",$BO$4:$BO$132)</f>
        <v>0</v>
      </c>
      <c r="BP140" s="126">
        <f>SUMIF($E$4:$E$132,"410",$BP$4:$BP$132)</f>
        <v>92962375</v>
      </c>
      <c r="BQ140" s="127">
        <f>SUMIF($E$4:$E$132,"410",$BQ$4:$BQ$132)</f>
        <v>17986667</v>
      </c>
      <c r="BR140" s="128">
        <f t="shared" si="175"/>
        <v>0.86761253658375426</v>
      </c>
      <c r="BS140" s="28">
        <f t="shared" si="176"/>
        <v>5469960688</v>
      </c>
      <c r="BT140" s="123">
        <f>SUMIF($E$4:$E$132,"410",$BT$4:$BT$132)</f>
        <v>0</v>
      </c>
      <c r="BU140" s="123">
        <f>SUMIF($E$4:$E$132,"410",$BU$4:$BU$132)</f>
        <v>0</v>
      </c>
      <c r="BV140" s="123">
        <f>SUMIF($E$4:$E$132,"410",$BV$4:$BV$132)</f>
        <v>2041432876</v>
      </c>
      <c r="BW140" s="123">
        <f>SUMIF($E$4:$E$132,"410",$BW$4:$BW$132)</f>
        <v>0</v>
      </c>
      <c r="BX140" s="123">
        <f>SUMIF($E$4:$E$132,"410",$BX$4:$BX$132)</f>
        <v>0</v>
      </c>
      <c r="BY140" s="123">
        <f>SUMIF($E$4:$E$132,"410",$BY$4:$BY$132)</f>
        <v>62566149</v>
      </c>
      <c r="BZ140" s="123">
        <f>SUMIF($E$4:$E$132,"410",$BZ$4:$BZ$132)</f>
        <v>0</v>
      </c>
      <c r="CA140" s="123">
        <f>SUMIF($E$4:$E$132,"410",$CA$4:$CA$132)</f>
        <v>0</v>
      </c>
      <c r="CB140" s="123">
        <f>SUMIF($E$4:$E$132,"410",$CB$4:$CB$132)</f>
        <v>0</v>
      </c>
      <c r="CC140" s="123">
        <f>SUMIF($E$4:$E$132,"410",$CC$4:$CC$132)</f>
        <v>0</v>
      </c>
      <c r="CD140" s="123">
        <f>SUMIF($E$4:$E$132,"410",$CD$4:$CD$132)</f>
        <v>0</v>
      </c>
      <c r="CE140" s="123">
        <f>SUMIF($E$4:$E$132,"410",$CE$4:$CE$132)</f>
        <v>1702567793</v>
      </c>
      <c r="CF140" s="123">
        <f>SUMIF($E$4:$E$132,"410",$CF$4:$CF$132)</f>
        <v>385950453</v>
      </c>
      <c r="CG140" s="123">
        <f>SUMIF($E$4:$E$132,"410",$CG$4:$CG$132)</f>
        <v>0</v>
      </c>
      <c r="CH140" s="123">
        <f>SUMIF($E$4:$E$132,"410",$CH$4:$CH$132)</f>
        <v>988088149</v>
      </c>
      <c r="CI140" s="123">
        <f>SUMIF($E$4:$E$132,"410",$CI$4:$CI$132)</f>
        <v>0</v>
      </c>
      <c r="CJ140" s="123">
        <f>SUMIF($E$4:$E$132,"410",$CJ$4:$CJ$132)</f>
        <v>85302101</v>
      </c>
      <c r="CK140" s="123">
        <f>SUMIF($E$4:$E$132,"410",$CK$4:$CK$132)</f>
        <v>0</v>
      </c>
      <c r="CL140" s="123">
        <f>SUMIF($E$4:$E$132,"410",$CL$4:$CL$132)</f>
        <v>111779461</v>
      </c>
      <c r="CM140" s="129">
        <f>SUMIF($E$4:$E$132,"410",$CM$4:$CM$132)</f>
        <v>92273706</v>
      </c>
      <c r="CN140" s="25">
        <f t="shared" si="177"/>
        <v>0.13238746341624574</v>
      </c>
      <c r="CO140" s="28">
        <f t="shared" si="178"/>
        <v>834651633</v>
      </c>
      <c r="CP140" s="126">
        <f>SUMIF($E$4:$E$132,"410",$CP$4:$CP$132)</f>
        <v>0</v>
      </c>
      <c r="CQ140" s="126">
        <f>SUMIF($E$4:$E$132,"410",$CQ$4:$CQ$132)</f>
        <v>221663819</v>
      </c>
      <c r="CR140" s="126">
        <f>SUMIF($E$4:$E$132,"410",$CR$4:$CR$132)</f>
        <v>0</v>
      </c>
      <c r="CS140" s="126">
        <f>SUMIF($E$4:$E$132,"410",$CS$4:$CS$132)</f>
        <v>0</v>
      </c>
      <c r="CT140" s="126">
        <f>SUMIF($E$4:$E$132,"410",$CT$4:$CT$132)</f>
        <v>11802441</v>
      </c>
      <c r="CU140" s="126">
        <f>SUMIF($E$4:$E$132,"410",$CU$4:$CU$132)</f>
        <v>0</v>
      </c>
      <c r="CV140" s="130">
        <f>SUMIF($E$4:$E$132,"410",$CV$4:$CV$132)</f>
        <v>0</v>
      </c>
      <c r="CW140" s="130">
        <f>SUMIF($E$4:$E$132,"410",$CW$4:$CW$132)</f>
        <v>0</v>
      </c>
      <c r="CX140" s="130">
        <f>SUMIF($E$4:$E$132,"410",$CX$4:$CX$132)</f>
        <v>0</v>
      </c>
      <c r="CY140" s="130">
        <f>SUMIF($E$4:$E$132,"410",$CY$4:$CY$132)</f>
        <v>0</v>
      </c>
      <c r="CZ140" s="130">
        <f>SUMIF($E$4:$E$132,"410",$CZ$4:$CZ$132)</f>
        <v>405076272</v>
      </c>
      <c r="DA140" s="130">
        <f>SUMIF($E$4:$E$132,"410",$DA$4:$DA$132)</f>
        <v>1746282</v>
      </c>
      <c r="DB140" s="130">
        <f>SUMIF($E$4:$E$132,"410",$DB$4:$DB$132)</f>
        <v>0</v>
      </c>
      <c r="DC140" s="130">
        <f>SUMIF($E$4:$E$132,"410",$DC$4:$DC$132)</f>
        <v>66745619</v>
      </c>
      <c r="DD140" s="130">
        <f>SUMIF($E$4:$E$132,"410",$DD$4:$DD$132)</f>
        <v>0</v>
      </c>
      <c r="DE140" s="130">
        <f>SUMIF($E$4:$E$132,"410",$DE$4:$DE$132)</f>
        <v>16668158</v>
      </c>
      <c r="DF140" s="130">
        <f>SUMIF($E$4:$E$132,"410",$DF$4:$DF$132)</f>
        <v>0</v>
      </c>
      <c r="DG140" s="130">
        <f>SUMIF($E$4:$E$132,"410",$DG$4:$DG$132)</f>
        <v>92962375</v>
      </c>
      <c r="DH140" s="130">
        <f>SUMIF($E$4:$E$132,"410",$DH$4:$DH$132)</f>
        <v>17986667</v>
      </c>
    </row>
    <row r="141" spans="1:112" ht="14.25" customHeight="1" x14ac:dyDescent="0.25">
      <c r="C141" s="132"/>
      <c r="D141" s="133" t="s">
        <v>377</v>
      </c>
      <c r="E141" s="114">
        <v>510</v>
      </c>
      <c r="F141" s="122"/>
      <c r="G141" s="123">
        <f>SUMIF($E$4:$E$132,"510",$G$4:$G$132)</f>
        <v>1083280977</v>
      </c>
      <c r="H141" s="124">
        <f>SUMIF($E$4:$E$132,"510",$H$4:$H$132)</f>
        <v>0</v>
      </c>
      <c r="I141" s="124">
        <f>SUMIF($E$4:$E$133,"510",$I$4:$I$133)</f>
        <v>0</v>
      </c>
      <c r="J141" s="123">
        <f>SUMIF($E$4:$E$132,"510",$J$4:$J$132)</f>
        <v>0</v>
      </c>
      <c r="K141" s="122">
        <f>SUMIF($E$4:$E$132,"510",$K$4:$K$132)</f>
        <v>841368554</v>
      </c>
      <c r="L141" s="122">
        <f>SUMIF($E$4:$E$132,"510",$L$4:$L$132)</f>
        <v>14004396</v>
      </c>
      <c r="M141" s="122">
        <f>SUMIF($E$4:$E$132,"510",$M$4:$M$132)</f>
        <v>0</v>
      </c>
      <c r="N141" s="122">
        <f>SUMIF($E$4:$E$132,"510",$N$4:$N$132)</f>
        <v>0</v>
      </c>
      <c r="O141" s="122">
        <f>SUMIF($E$4:$E$132,"510",$O$4:$O$132)</f>
        <v>0</v>
      </c>
      <c r="P141" s="122">
        <f>SUMIF($E$4:$E$132,"510",$P$4:$P$132)</f>
        <v>0</v>
      </c>
      <c r="Q141" s="122">
        <f>SUMIF($E$4:$E$132,"510",$Q$4:$Q$132)</f>
        <v>0</v>
      </c>
      <c r="R141" s="122">
        <f>SUMIF($E$4:$E$132,"510",$R$4:$R$132)</f>
        <v>0</v>
      </c>
      <c r="S141" s="122">
        <f>SUMIF($E$4:$E$132,"510",$S$4:$S$132)</f>
        <v>40431446</v>
      </c>
      <c r="T141" s="122">
        <f>SUMIF($E$4:$E$132,"510",$T$4:$T$132)</f>
        <v>1796640</v>
      </c>
      <c r="U141" s="122">
        <f>SUMIF($E$4:$E$132,"510",$U$4:$U$132)</f>
        <v>6000000</v>
      </c>
      <c r="V141" s="122">
        <f>SUMIF($E$4:$E$124,"510",$V$4:$V$124)</f>
        <v>0</v>
      </c>
      <c r="W141" s="122"/>
      <c r="X141" s="122">
        <f>SUMIF($E$4:$E$132,"510",$X$4:$X$132)</f>
        <v>0</v>
      </c>
      <c r="Y141" s="122">
        <f>SUMIF($E$4:$E$132,"510",$Y$4:$Y$132)</f>
        <v>0</v>
      </c>
      <c r="Z141" s="122">
        <f>SUMIF($E$4:$E$132,"510",$Z$4:$Z$132)</f>
        <v>179679941</v>
      </c>
      <c r="AA141" s="125">
        <f t="shared" si="171"/>
        <v>0.9173209869815705</v>
      </c>
      <c r="AB141" s="28">
        <f t="shared" si="172"/>
        <v>993716375</v>
      </c>
      <c r="AC141" s="123">
        <f>SUMIF($E$4:$E$132,"510",$AC$4:$AC$132)</f>
        <v>0</v>
      </c>
      <c r="AD141" s="123">
        <f>SUMIF($E$4:$E$132,"510",$AD$4:$AD$132)</f>
        <v>0</v>
      </c>
      <c r="AE141" s="123">
        <f>SUMIF($E$4:$E$132,"510",$AE$4:$AE$132)</f>
        <v>0</v>
      </c>
      <c r="AF141" s="123">
        <f>SUMIF($E$4:$E$132,"510",$AF$4:$AF$132)</f>
        <v>0</v>
      </c>
      <c r="AG141" s="123">
        <f>SUMIF($E$4:$E$132,"510",$AG$4:$AG$132)</f>
        <v>795650695</v>
      </c>
      <c r="AH141" s="123">
        <f>SUMIF($E$4:$E$132,"510",$AH$4:$AH$132)</f>
        <v>14004396</v>
      </c>
      <c r="AI141" s="123">
        <f>SUMIF($E$4:$E$132,"510",$AI$4:$AI$132)</f>
        <v>0</v>
      </c>
      <c r="AJ141" s="123">
        <f>SUMIF($E$4:$E$132,"510",$AJ$4:$AJ$132)</f>
        <v>0</v>
      </c>
      <c r="AK141" s="123">
        <f>SUMIF($E$4:$E$132,"510",$AK$4:$AK$132)</f>
        <v>0</v>
      </c>
      <c r="AL141" s="123">
        <f>SUMIF($E$4:$E$132,"510",$AL$4:$AL$132)</f>
        <v>0</v>
      </c>
      <c r="AM141" s="123">
        <f>SUMIF($E$4:$E$132,"510",$AM$4:$AM$132)</f>
        <v>0</v>
      </c>
      <c r="AN141" s="123">
        <f>SUMIF($E$4:$E$132,"510",$AN$4:$AN$132)</f>
        <v>0</v>
      </c>
      <c r="AO141" s="123">
        <f>SUMIF($E$4:$E$132,"510",$AO$4:$AO$132)</f>
        <v>35154230</v>
      </c>
      <c r="AP141" s="123">
        <f>SUMIF($E$4:$E$132,"510",$AP$4:$AP$132)</f>
        <v>1796640</v>
      </c>
      <c r="AQ141" s="123">
        <f>SUMIF($E$4:$E$132,"510",$AQ$4:$AQ$132)</f>
        <v>5652704</v>
      </c>
      <c r="AR141" s="123">
        <f>SUMIF($E$4:$E$132,"510",$AR$4:$AR$132)</f>
        <v>0</v>
      </c>
      <c r="AS141" s="123">
        <f>SUMIF($E$4:$E$132,"510",$AS$4:$AS$132)</f>
        <v>0</v>
      </c>
      <c r="AT141" s="123">
        <f>SUMIF($E$4:$E$132,"510",$AT$4:$AT$132)</f>
        <v>0</v>
      </c>
      <c r="AU141" s="123">
        <f>SUMIF($E$4:$E$132," 510",$AU$4:$AU$132)</f>
        <v>0</v>
      </c>
      <c r="AV141" s="123">
        <f>SUMIF($E$4:$E$132,"510",$AV$4:$AV$132)</f>
        <v>141457710</v>
      </c>
      <c r="AW141" s="108">
        <f t="shared" si="173"/>
        <v>8.2679013018429504E-2</v>
      </c>
      <c r="AX141" s="28">
        <f t="shared" si="174"/>
        <v>89564602</v>
      </c>
      <c r="AY141" s="126">
        <f>SUMIF($E$4:$E$132,"510",$AY$4:$AY$132)</f>
        <v>0</v>
      </c>
      <c r="AZ141" s="126">
        <f>SUMIF($E$4:$E$132,"510",$AZ$4:$AZ$132)</f>
        <v>0</v>
      </c>
      <c r="BA141" s="126">
        <f>SUMIF($E$4:$E$132,"510",$BA$4:$BA$132)</f>
        <v>0</v>
      </c>
      <c r="BB141" s="126">
        <f>SUMIF($E$4:$E$132,"510",$BB$4:$BB$132)</f>
        <v>45717859</v>
      </c>
      <c r="BC141" s="126">
        <f>SUMIF($E$4:$E$132,"510",$BC$4:$BC$132)</f>
        <v>0</v>
      </c>
      <c r="BD141" s="126">
        <f>SUMIF($E$4:$E$132,"510",$BD$4:$BD$132)</f>
        <v>0</v>
      </c>
      <c r="BE141" s="126">
        <f>SUMIF($E$4:$E$132,"510",$BE$4:$BE$132)</f>
        <v>0</v>
      </c>
      <c r="BF141" s="126">
        <f>SUMIF($E$4:$E$132,"510",$BF$4:$BF$132)</f>
        <v>0</v>
      </c>
      <c r="BG141" s="126">
        <f>SUMIF($E$4:$E$132,"510",$BG$4:$BG$132)</f>
        <v>0</v>
      </c>
      <c r="BH141" s="126">
        <f>SUMIF($E$4:$E$132,"510",$BH$4:$BH$132)</f>
        <v>0</v>
      </c>
      <c r="BI141" s="126">
        <f>SUMIF($E$4:$E$132,"510",$BI$4:$BI$132)</f>
        <v>0</v>
      </c>
      <c r="BJ141" s="126">
        <f>SUMIF($E$4:$E$132,"510",$BJ$4:$BJ$132)</f>
        <v>5277216</v>
      </c>
      <c r="BK141" s="126">
        <f>SUMIF($E$4:$E$132,"510",$BK$4:$BK$132)</f>
        <v>0</v>
      </c>
      <c r="BL141" s="126">
        <f>SUMIF($E$4:$E$132,"510",$BL$4:$BL$132)</f>
        <v>347296</v>
      </c>
      <c r="BM141" s="126">
        <f>SUMIF($E$4:$E$132,"520",$BM$4:$BM$132)</f>
        <v>0</v>
      </c>
      <c r="BN141" s="126"/>
      <c r="BO141" s="126">
        <f>SUMIF($E$4:$E$132,"510",$BO$4:$BO$132)</f>
        <v>0</v>
      </c>
      <c r="BP141" s="126">
        <f>SUMIF($E$4:$E$132,"510",$BP$4:$BP$132)</f>
        <v>0</v>
      </c>
      <c r="BQ141" s="127">
        <f>SUMIF($E$4:$E$132,"510",$BQ$4:$BQ$132)</f>
        <v>38222231</v>
      </c>
      <c r="BR141" s="128">
        <f t="shared" si="175"/>
        <v>0.9173209869815705</v>
      </c>
      <c r="BS141" s="28">
        <f t="shared" si="176"/>
        <v>993716375</v>
      </c>
      <c r="BT141" s="123">
        <f>SUMIF($E$4:$E$132,"510",$BT$4:$BT$132)</f>
        <v>0</v>
      </c>
      <c r="BU141" s="123">
        <f>SUMIF($E$4:$E$132,"510",$BU$4:$BU$132)</f>
        <v>0</v>
      </c>
      <c r="BV141" s="123">
        <f>SUMIF($E$4:$E$132,"510",$BV$4:$BV$132)</f>
        <v>0</v>
      </c>
      <c r="BW141" s="123">
        <f>SUMIF($E$4:$E$132,"510",$BW$4:$BW$132)</f>
        <v>0</v>
      </c>
      <c r="BX141" s="123">
        <f>SUMIF($E$4:$E$132,"510",$BX$4:$BX$132)</f>
        <v>795650695</v>
      </c>
      <c r="BY141" s="123">
        <f>SUMIF($E$4:$E$132,"510",$BY$4:$BY$132)</f>
        <v>14004396</v>
      </c>
      <c r="BZ141" s="123">
        <f>SUMIF($E$4:$E$132,"510",$BZ$4:$BZ$132)</f>
        <v>0</v>
      </c>
      <c r="CA141" s="123">
        <f>SUMIF($E$4:$E$132,"510",$CA$4:$CA$132)</f>
        <v>0</v>
      </c>
      <c r="CB141" s="123">
        <f>SUMIF($E$4:$E$132,"510",$CB$4:$CB$132)</f>
        <v>0</v>
      </c>
      <c r="CC141" s="123">
        <f>SUMIF($E$4:$E$132,"510",$CC$4:$CC$132)</f>
        <v>0</v>
      </c>
      <c r="CD141" s="123">
        <f>SUMIF($E$4:$E$132,"510",$CD$4:$CD$132)</f>
        <v>0</v>
      </c>
      <c r="CE141" s="123">
        <f>SUMIF($E$4:$E$132,"510",$CE$4:$CE$132)</f>
        <v>0</v>
      </c>
      <c r="CF141" s="123">
        <f>SUMIF($E$4:$E$132,"510",$CF$4:$CF$132)</f>
        <v>35154230</v>
      </c>
      <c r="CG141" s="123">
        <f>SUMIF($E$4:$E$132,"510",$CG$4:$CG$132)</f>
        <v>1796640</v>
      </c>
      <c r="CH141" s="123">
        <f>SUMIF($E$4:$E$132,"510",$CH$4:$CH$132)</f>
        <v>5652704</v>
      </c>
      <c r="CI141" s="123">
        <f>SUMIF($E$4:$E$132,"510",$CI$4:$CI$132)</f>
        <v>0</v>
      </c>
      <c r="CJ141" s="123">
        <f>SUMIF($E$4:$E$132,"111",$CJ$4:$CJ$132)</f>
        <v>0</v>
      </c>
      <c r="CK141" s="123">
        <f>SUMIF($E$4:$E$132,"510",$CK$4:$CK$132)</f>
        <v>0</v>
      </c>
      <c r="CL141" s="123">
        <f>SUMIF($E$4:$E$132,"510",$CL$4:$CL$132)</f>
        <v>0</v>
      </c>
      <c r="CM141" s="129">
        <f>SUMIF($E$4:$E$132,"510",$CM$4:$CM$132)</f>
        <v>141457710</v>
      </c>
      <c r="CN141" s="25">
        <f t="shared" si="177"/>
        <v>8.2679013018429504E-2</v>
      </c>
      <c r="CO141" s="28">
        <f t="shared" si="178"/>
        <v>89564602</v>
      </c>
      <c r="CP141" s="126">
        <f>SUMIF($E$4:$E$132,"510",$CP$4:$CP$132)</f>
        <v>0</v>
      </c>
      <c r="CQ141" s="126">
        <f>SUMIF($E$4:$E$132,"510",$CQ$4:$CQ$132)</f>
        <v>0</v>
      </c>
      <c r="CR141" s="126">
        <f>SUMIF($E$4:$E$132,"510",$CR$4:$CR$132)</f>
        <v>0</v>
      </c>
      <c r="CS141" s="126">
        <f>SUMIF($E$4:$E$132,"510",$CS$4:$CS$132)</f>
        <v>45717859</v>
      </c>
      <c r="CT141" s="126">
        <f>SUMIF($E$4:$E$132,"510",$CT$4:$CT$132)</f>
        <v>0</v>
      </c>
      <c r="CU141" s="126">
        <f>SUMIF($E$4:$E$132,"510",$CU$4:$CU$132)</f>
        <v>0</v>
      </c>
      <c r="CV141" s="130">
        <f>SUMIF($E$4:$E$132,"510",$CV$4:$CV$132)</f>
        <v>0</v>
      </c>
      <c r="CW141" s="130">
        <f>SUMIF($E$4:$E$132,"510",$CW$4:$CW$132)</f>
        <v>0</v>
      </c>
      <c r="CX141" s="130">
        <f>SUMIF($E$4:$E$132,"510",$CX$4:$CX$132)</f>
        <v>0</v>
      </c>
      <c r="CY141" s="130">
        <f>SUMIF($E$4:$E$132,"510",$CY$4:$CY$132)</f>
        <v>0</v>
      </c>
      <c r="CZ141" s="130">
        <f>SUMIF($E$4:$E$132,"510",$CZ$4:$CZ$132)</f>
        <v>0</v>
      </c>
      <c r="DA141" s="130">
        <f>SUMIF($E$4:$E$132,"510",$DA$4:$DA$132)</f>
        <v>5277216</v>
      </c>
      <c r="DB141" s="130">
        <f>SUMIF($E$4:$E$132,"510",$DB$4:$DB$132)</f>
        <v>0</v>
      </c>
      <c r="DC141" s="130">
        <f>SUMIF($E$4:$E$132,"510",$DC$4:$DC$132)</f>
        <v>347296</v>
      </c>
      <c r="DD141" s="130">
        <f>SUMIF($E$4:$E$132,"510",$DD$4:$DD$132)</f>
        <v>0</v>
      </c>
      <c r="DE141" s="130">
        <f>SUMIF($E$4:$E$132,"510",$DE$4:$DE$132)</f>
        <v>0</v>
      </c>
      <c r="DF141" s="130">
        <f>SUMIF($E$4:$E$132,"510",$DF$4:$DF$132)</f>
        <v>0</v>
      </c>
      <c r="DG141" s="130">
        <f>SUMIF($E$4:$E$132,"510",$DG$4:$DG$132)</f>
        <v>0</v>
      </c>
      <c r="DH141" s="130">
        <f>SUMIF($E$4:$E$132,"510",$DH$4:$DH$132)</f>
        <v>38222231</v>
      </c>
    </row>
    <row r="142" spans="1:112" x14ac:dyDescent="0.25">
      <c r="C142" s="132"/>
      <c r="D142" s="121" t="s">
        <v>378</v>
      </c>
      <c r="E142" s="114">
        <v>520</v>
      </c>
      <c r="F142" s="122"/>
      <c r="G142" s="123">
        <f>SUMIF($E$4:$E$132,"520",$G$4:$G$132)</f>
        <v>1790134547</v>
      </c>
      <c r="H142" s="124">
        <f>SUMIF($E$4:$E$132,"520",$H$4:$H$132)</f>
        <v>0</v>
      </c>
      <c r="I142" s="124">
        <f>SUMIF($E$4:$E$132,"520",$I$4:$I$132)</f>
        <v>0</v>
      </c>
      <c r="J142" s="123">
        <f>SUMIF($E$4:$E$132,"520",$J$4:$J$132)</f>
        <v>0</v>
      </c>
      <c r="K142" s="122">
        <f>SUMIF($E$4:$E$132,"520",$K$4:$K$132)</f>
        <v>520000000</v>
      </c>
      <c r="L142" s="122">
        <f>SUMIF($E$4:$E$132,"520",$L$4:$L$132)</f>
        <v>50000000</v>
      </c>
      <c r="M142" s="122">
        <f>SUMIF($E$4:$E$132,"520",$M$4:$M$132)</f>
        <v>0</v>
      </c>
      <c r="N142" s="122">
        <f>SUMIF($E$4:$E$132,"520",$N$4:$N$132)</f>
        <v>0</v>
      </c>
      <c r="O142" s="122">
        <f>SUMIF($E$4:$E$132,"520",$O$4:$O$132)</f>
        <v>0</v>
      </c>
      <c r="P142" s="122">
        <f>SUMIF($E$4:$E$132,"520",$P$4:$P$132)</f>
        <v>0</v>
      </c>
      <c r="Q142" s="122">
        <f>SUMIF($E$4:$E$132,"520",$Q$4:$Q$132)</f>
        <v>0</v>
      </c>
      <c r="R142" s="122">
        <f>SUMIF($E$4:$E$132,"520",$R$4:$R$132)</f>
        <v>244000000</v>
      </c>
      <c r="S142" s="122">
        <f>SUMIF($E$4:$E$132,"520",$S$4:$S$132)</f>
        <v>333901442</v>
      </c>
      <c r="T142" s="122">
        <f>SUMIF($E$4:$E$132,"520",$T$4:$T$132)</f>
        <v>0</v>
      </c>
      <c r="U142" s="122">
        <f>SUMIF($E$4:$E$132,"520",$U$4:$U$132)</f>
        <v>0</v>
      </c>
      <c r="V142" s="122">
        <f>SUMIF($E$4:$E$124,"520",$V$4:$V$124)</f>
        <v>0</v>
      </c>
      <c r="W142" s="122"/>
      <c r="X142" s="122">
        <f>SUMIF($E$4:$E$132,"520",$X$4:$X$132)</f>
        <v>0</v>
      </c>
      <c r="Y142" s="122">
        <f>SUMIF($E$4:$E$132,"520",$Y$4:$Y$132)</f>
        <v>0</v>
      </c>
      <c r="Z142" s="122">
        <f>SUMIF($E$4:$E$132,"520",$Z$4:$Z$132)</f>
        <v>642233105</v>
      </c>
      <c r="AA142" s="125">
        <f t="shared" si="171"/>
        <v>0.94110376888894265</v>
      </c>
      <c r="AB142" s="28">
        <f t="shared" si="172"/>
        <v>1684702369</v>
      </c>
      <c r="AC142" s="123">
        <f>SUMIF($E$4:$E$132,"520",$AC$4:$AC$132)</f>
        <v>0</v>
      </c>
      <c r="AD142" s="123">
        <f>SUMIF($E$4:$E$132,"520",$AD$4:$AD$132)</f>
        <v>0</v>
      </c>
      <c r="AE142" s="123">
        <f>SUMIF($E$4:$E$132,"520",$AE$4:$AE$132)</f>
        <v>0</v>
      </c>
      <c r="AF142" s="123">
        <f>SUMIF($E$4:$E$132,"520",$AF$4:$AF$132)</f>
        <v>0</v>
      </c>
      <c r="AG142" s="123">
        <f>SUMIF($E$4:$E$132,"520",$AG$4:$AG$132)</f>
        <v>485265778</v>
      </c>
      <c r="AH142" s="123">
        <f>SUMIF($E$4:$E$132,"520",$AH$4:$AH$132)</f>
        <v>49797725</v>
      </c>
      <c r="AI142" s="123">
        <f>SUMIF($E$4:$E$132,"520",$AI$4:$AI$132)</f>
        <v>0</v>
      </c>
      <c r="AJ142" s="123">
        <f>SUMIF($E$4:$E$132,"520",$AJ$4:$AJ$132)</f>
        <v>0</v>
      </c>
      <c r="AK142" s="123">
        <f>SUMIF($E$4:$E$132,"520",$AK$4:$AK$132)</f>
        <v>0</v>
      </c>
      <c r="AL142" s="123">
        <f>SUMIF($E$4:$E$132,"520",$AL$4:$AL$132)</f>
        <v>0</v>
      </c>
      <c r="AM142" s="123">
        <f>SUMIF($E$4:$E$132,"520",$AM$4:$AM$132)</f>
        <v>0</v>
      </c>
      <c r="AN142" s="123">
        <f>SUMIF($E$4:$E$132,"520",$AN$4:$AN$132)</f>
        <v>214647880</v>
      </c>
      <c r="AO142" s="123">
        <f>SUMIF($E$4:$E$132,"520",$AO$4:$AO$132)</f>
        <v>317313672</v>
      </c>
      <c r="AP142" s="123">
        <f>SUMIF($E$4:$E$132,"520",$AP$4:$AP$132)</f>
        <v>0</v>
      </c>
      <c r="AQ142" s="123">
        <f>SUMIF($E$4:$E$132,"520",$AQ$4:$AQ$132)</f>
        <v>0</v>
      </c>
      <c r="AR142" s="123">
        <f>SUMIF($E$4:$E$132,"520",$AR$4:$AR$132)</f>
        <v>0</v>
      </c>
      <c r="AS142" s="123">
        <f>SUMIF($E$4:$E$132,"520",$AS$4:$AS$132)</f>
        <v>0</v>
      </c>
      <c r="AT142" s="123">
        <f>SUMIF($E$4:$E$132,"520",$AT$4:$AT$132)</f>
        <v>0</v>
      </c>
      <c r="AU142" s="123">
        <f>SUMIF($E$4:$E$132,"520",$AU$4:$AU$132)</f>
        <v>0</v>
      </c>
      <c r="AV142" s="123">
        <f>SUMIF($E$4:$E$132,"520",$AV$4:$AV$132)</f>
        <v>617677314</v>
      </c>
      <c r="AW142" s="108">
        <f t="shared" si="173"/>
        <v>5.8896231111057351E-2</v>
      </c>
      <c r="AX142" s="28">
        <f t="shared" si="174"/>
        <v>105432178</v>
      </c>
      <c r="AY142" s="126">
        <f>SUMIF($E$4:$E$132,"520",$AY$4:$AY$132)</f>
        <v>0</v>
      </c>
      <c r="AZ142" s="126">
        <f>SUMIF($E$4:$E$132,"520",$AZ$4:$AZ$132)</f>
        <v>0</v>
      </c>
      <c r="BA142" s="126">
        <f>SUMIF($E$4:$E$132,"520",$BA$4:$BA$132)</f>
        <v>0</v>
      </c>
      <c r="BB142" s="126">
        <f>SUMIF($E$4:$E$132,"520",$BB$4:$BB$132)</f>
        <v>34734222</v>
      </c>
      <c r="BC142" s="126">
        <f>SUMIF($E$4:$E$132,"520",$BC$4:$BC$132)</f>
        <v>202275</v>
      </c>
      <c r="BD142" s="126">
        <f>SUMIF($E$4:$E$132,"520",$BD$4:$BD$132)</f>
        <v>0</v>
      </c>
      <c r="BE142" s="126">
        <f>SUMIF($E$4:$E$132,"520",$BE$4:$BE$132)</f>
        <v>0</v>
      </c>
      <c r="BF142" s="126">
        <f>SUMIF($E$4:$E$132,"520",$BF$4:$BF$132)</f>
        <v>0</v>
      </c>
      <c r="BG142" s="126">
        <f>SUMIF($E$4:$E$132,"520",$BG$4:$BG$132)</f>
        <v>0</v>
      </c>
      <c r="BH142" s="126">
        <f>SUMIF($E$4:$E$132,"520",$BH$4:$BH$132)</f>
        <v>0</v>
      </c>
      <c r="BI142" s="126">
        <f>SUMIF($E$4:$E$132,"520",$BI$4:$BI$132)</f>
        <v>29352120</v>
      </c>
      <c r="BJ142" s="126">
        <f>SUMIF($E$4:$E$132,"520",$BJ$4:$BJ$132)</f>
        <v>16587770</v>
      </c>
      <c r="BK142" s="126">
        <f>SUMIF($E$4:$E$132,"520",$BK$4:$BK$132)</f>
        <v>0</v>
      </c>
      <c r="BL142" s="126">
        <f>SUMIF($E$4:$E$132,"520",$BL$4:$BL$132)</f>
        <v>0</v>
      </c>
      <c r="BM142" s="126">
        <f>SUMIF($E$4:$E$132,"111",$BM$4:$BM$132)</f>
        <v>0</v>
      </c>
      <c r="BN142" s="126"/>
      <c r="BO142" s="126">
        <f>SUMIF($E$4:$E$132,"520",$BO$4:$BO$132)</f>
        <v>0</v>
      </c>
      <c r="BP142" s="126">
        <f>SUMIF($E$4:$E$132,"520",$BP$4:$BP$132)</f>
        <v>0</v>
      </c>
      <c r="BQ142" s="127">
        <f>SUMIF($E$4:$E$132,"520",$BQ$4:$BQ$132)</f>
        <v>24555791</v>
      </c>
      <c r="BR142" s="128">
        <f t="shared" si="175"/>
        <v>0.94110376888894265</v>
      </c>
      <c r="BS142" s="28">
        <f t="shared" si="176"/>
        <v>1684702369</v>
      </c>
      <c r="BT142" s="123">
        <f>SUMIF($E$4:$E$132,"520",$BT$4:$BT$132)</f>
        <v>0</v>
      </c>
      <c r="BU142" s="123">
        <f>SUMIF($E$4:$E$132,"520",$BU$4:$BU$132)</f>
        <v>0</v>
      </c>
      <c r="BV142" s="123">
        <f>SUMIF($E$4:$E$132,"520",$BV$4:$BV$132)</f>
        <v>0</v>
      </c>
      <c r="BW142" s="123">
        <f>SUMIF($E$4:$E$132,"520",$BW$4:$BW$132)</f>
        <v>0</v>
      </c>
      <c r="BX142" s="123">
        <f>SUMIF($E$4:$E$132,"520",$BX$4:$BX$132)</f>
        <v>485265778</v>
      </c>
      <c r="BY142" s="123">
        <f>SUMIF($E$4:$E$132,"520",$BY$4:$BY$132)</f>
        <v>49797725</v>
      </c>
      <c r="BZ142" s="123">
        <f>SUMIF($E$4:$E$132,"520",$BZ$4:$BZ$132)</f>
        <v>0</v>
      </c>
      <c r="CA142" s="123">
        <f>SUMIF($E$4:$E$132,"520",$CA$4:$CA$132)</f>
        <v>0</v>
      </c>
      <c r="CB142" s="123">
        <f>SUMIF($E$4:$E$132,"520",$CB$4:$CB$132)</f>
        <v>0</v>
      </c>
      <c r="CC142" s="123">
        <f>SUMIF($E$4:$E$132,"520",$CC$4:$CC$132)</f>
        <v>0</v>
      </c>
      <c r="CD142" s="123">
        <f>SUMIF($E$4:$E$132,"520",$CD$4:$CD$132)</f>
        <v>0</v>
      </c>
      <c r="CE142" s="123">
        <f>SUMIF($E$4:$E$132,"520",$CE$4:$CE$132)</f>
        <v>214647880</v>
      </c>
      <c r="CF142" s="123">
        <f>SUMIF($E$4:$E$132,"520",$CF$4:$CF$132)</f>
        <v>317313672</v>
      </c>
      <c r="CG142" s="123">
        <f>SUMIF($E$4:$E$132,"520",$CG$4:$CG$132)</f>
        <v>0</v>
      </c>
      <c r="CH142" s="123">
        <f>SUMIF($E$4:$E$132,"520",$CH$4:$CH$132)</f>
        <v>0</v>
      </c>
      <c r="CI142" s="123">
        <f>SUMIF($E$4:$E$132,"520",$CI$4:$CI$132)</f>
        <v>0</v>
      </c>
      <c r="CJ142" s="123">
        <f>SUMIF($E$4:$E$132,"111",$CJ$4:$CJ$132)</f>
        <v>0</v>
      </c>
      <c r="CK142" s="123">
        <f>SUMIF($E$4:$E$132,"520",$CK$4:$CK$132)</f>
        <v>0</v>
      </c>
      <c r="CL142" s="123">
        <f>SUMIF($E$4:$E$132,"520",$CL$4:$CL$132)</f>
        <v>0</v>
      </c>
      <c r="CM142" s="129">
        <f>SUMIF($E$4:$E$132,"520",$CM$4:$CM$132)</f>
        <v>617677314</v>
      </c>
      <c r="CN142" s="25">
        <f t="shared" si="177"/>
        <v>5.8896231111057351E-2</v>
      </c>
      <c r="CO142" s="28">
        <f t="shared" si="178"/>
        <v>105432178</v>
      </c>
      <c r="CP142" s="126">
        <f>SUMIF($E$4:$E$132,"520",$CP$4:$CP$132)</f>
        <v>0</v>
      </c>
      <c r="CQ142" s="126">
        <f>SUMIF($E$4:$E$132,"520",$CQ$4:$CQ$132)</f>
        <v>0</v>
      </c>
      <c r="CR142" s="126">
        <f>SUMIF($E$4:$E$132,"520",$CR$4:$CR$132)</f>
        <v>0</v>
      </c>
      <c r="CS142" s="126">
        <f>SUMIF($E$4:$E$132,"520",$CS$4:$CS$132)</f>
        <v>34734222</v>
      </c>
      <c r="CT142" s="126">
        <f>SUMIF($E$4:$E$132,"520",$CT$4:$CT$132)</f>
        <v>202275</v>
      </c>
      <c r="CU142" s="126">
        <f>SUMIF($E$4:$E$132,"520",$CU$4:$CU$132)</f>
        <v>0</v>
      </c>
      <c r="CV142" s="130">
        <f>SUMIF($E$4:$E$132,"520",$CV$4:$CV$132)</f>
        <v>0</v>
      </c>
      <c r="CW142" s="130">
        <f>SUMIF($E$4:$E$132,"520",$CW$4:$CW$132)</f>
        <v>0</v>
      </c>
      <c r="CX142" s="130">
        <f>SUMIF($E$4:$E$132,"520",$CX$4:$CX$132)</f>
        <v>0</v>
      </c>
      <c r="CY142" s="130">
        <f>SUMIF($E$4:$E$132,"520",$CY$4:$CY$132)</f>
        <v>0</v>
      </c>
      <c r="CZ142" s="130">
        <f>SUMIF($E$4:$E$132,"520",$CZ$4:$CZ$132)</f>
        <v>29352120</v>
      </c>
      <c r="DA142" s="130">
        <f>SUMIF($E$4:$E$132,"520",$DA$4:$DA$132)</f>
        <v>16587770</v>
      </c>
      <c r="DB142" s="130">
        <f>SUMIF($E$4:$E$132,"520",$DB$4:$DB$132)</f>
        <v>0</v>
      </c>
      <c r="DC142" s="130">
        <f>SUMIF($E$4:$E$132,"520",$DC$4:$DC$132)</f>
        <v>0</v>
      </c>
      <c r="DD142" s="130">
        <f>SUMIF($E$4:$E$132,"520",$DD$4:$DD$132)</f>
        <v>0</v>
      </c>
      <c r="DE142" s="130">
        <f>SUMIF($E$4:$E$132,"520",$DE$4:$DE$132)</f>
        <v>0</v>
      </c>
      <c r="DF142" s="130">
        <f>SUMIF($E$4:$E$132,"520",$DF$4:$DF$132)</f>
        <v>0</v>
      </c>
      <c r="DG142" s="130">
        <f>SUMIF($E$4:$E$132,"520",$DG$4:$DG$132)</f>
        <v>0</v>
      </c>
      <c r="DH142" s="130">
        <f>SUMIF($E$4:$E$132,"520",$DH$4:$DH$132)</f>
        <v>24555791</v>
      </c>
    </row>
    <row r="143" spans="1:112" x14ac:dyDescent="0.25">
      <c r="C143" s="132"/>
      <c r="D143" s="121" t="s">
        <v>379</v>
      </c>
      <c r="E143" s="114" t="s">
        <v>351</v>
      </c>
      <c r="F143" s="122"/>
      <c r="G143" s="123">
        <f>SUMIF($E$4:$E$132,"520-2",$G$4:$G$132)</f>
        <v>3185000000</v>
      </c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2">
        <f>SUMIF($E$4:$E$132,"520-2",$T$4:$T$132)</f>
        <v>485000000</v>
      </c>
      <c r="U143" s="124"/>
      <c r="V143" s="124"/>
      <c r="W143" s="124"/>
      <c r="X143" s="122">
        <f>SUMIF($E$4:$E$132,"520-2",$X$4:$X$132)</f>
        <v>2700000000</v>
      </c>
      <c r="Y143" s="124"/>
      <c r="Z143" s="122">
        <f>SUMIF($E$4:$E$132,"520-2",$Z$4:$Z$132)</f>
        <v>0</v>
      </c>
      <c r="AA143" s="125">
        <f t="shared" si="171"/>
        <v>0.7800764106750393</v>
      </c>
      <c r="AB143" s="28">
        <f>SUM(AD143:AV143)</f>
        <v>2484543368</v>
      </c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>
        <f>SUMIF($E$4:$E$132,"520-2",$AP$4:$AP$132)</f>
        <v>451915027</v>
      </c>
      <c r="AQ143" s="123"/>
      <c r="AR143" s="123"/>
      <c r="AS143" s="123">
        <f>SUMIF($E$4:$E$132,"520-2",$AS$4:$AS$132)</f>
        <v>0</v>
      </c>
      <c r="AT143" s="123">
        <f>SUMIF($E$4:$E$132,"520-2",$AT$4:$AT$132)</f>
        <v>2032628341</v>
      </c>
      <c r="AU143" s="123"/>
      <c r="AV143" s="123"/>
      <c r="AW143" s="108">
        <f t="shared" si="173"/>
        <v>0.2199235893249607</v>
      </c>
      <c r="AX143" s="28">
        <f t="shared" si="174"/>
        <v>700456632</v>
      </c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>
        <f>SUMIF($E$4:$E$132,"520-2",$BK$4:$BK$132)</f>
        <v>33084973</v>
      </c>
      <c r="BL143" s="126"/>
      <c r="BM143" s="126"/>
      <c r="BN143" s="126"/>
      <c r="BO143" s="126">
        <f>SUMIF($E$4:$E$132,"520-2",$BO$4:$BO$132)</f>
        <v>667371659</v>
      </c>
      <c r="BP143" s="126"/>
      <c r="BQ143" s="127"/>
      <c r="BR143" s="128">
        <f t="shared" si="175"/>
        <v>0.7800764106750393</v>
      </c>
      <c r="BS143" s="28">
        <f>SUM(BT143:CM143)</f>
        <v>2484543368</v>
      </c>
      <c r="BT143" s="129"/>
      <c r="BU143" s="129"/>
      <c r="BV143" s="129"/>
      <c r="BW143" s="129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>
        <f>SUMIF($E$4:$E$132,"520-2",$CG$4:$CG$132)</f>
        <v>451915027</v>
      </c>
      <c r="CH143" s="123"/>
      <c r="CI143" s="123"/>
      <c r="CJ143" s="123">
        <f>SUMIF($E$4:$E$132,"111",$CJ$4:$CJ$132)</f>
        <v>0</v>
      </c>
      <c r="CK143" s="123">
        <f>SUMIF($E$4:$E$132,"520-2",$CK$4:$CK$132)</f>
        <v>2032628341</v>
      </c>
      <c r="CL143" s="123"/>
      <c r="CM143" s="129"/>
      <c r="CN143" s="25">
        <f t="shared" si="177"/>
        <v>0.2199235893249607</v>
      </c>
      <c r="CO143" s="28">
        <f t="shared" si="178"/>
        <v>700456632</v>
      </c>
      <c r="CP143" s="127"/>
      <c r="CQ143" s="127"/>
      <c r="CR143" s="127"/>
      <c r="CS143" s="126"/>
      <c r="CT143" s="126"/>
      <c r="CU143" s="126"/>
      <c r="CV143" s="130"/>
      <c r="CW143" s="130"/>
      <c r="CX143" s="130"/>
      <c r="CY143" s="130"/>
      <c r="CZ143" s="130"/>
      <c r="DA143" s="130"/>
      <c r="DB143" s="130">
        <f>SUMIF($E$4:$E$132,"520-2",$DB$4:$DB$132)</f>
        <v>33084973</v>
      </c>
      <c r="DC143" s="130"/>
      <c r="DD143" s="130"/>
      <c r="DE143" s="130">
        <f>SUMIF($E$4:$E$132,"520-2",$DE$4:$DE$132)</f>
        <v>0</v>
      </c>
      <c r="DF143" s="130">
        <f>SUMIF($E$4:$E$132,"520-2",$DF$4:$DF$132)</f>
        <v>667371659</v>
      </c>
      <c r="DG143" s="130"/>
      <c r="DH143" s="130"/>
    </row>
    <row r="144" spans="1:112" x14ac:dyDescent="0.25">
      <c r="C144" s="132"/>
      <c r="D144" s="121" t="s">
        <v>380</v>
      </c>
      <c r="E144" s="134"/>
      <c r="F144" s="135"/>
      <c r="G144" s="136">
        <f t="shared" ref="G144:Z144" si="179">SUM(G137:G143)</f>
        <v>22305623027</v>
      </c>
      <c r="H144" s="136">
        <f t="shared" si="179"/>
        <v>0</v>
      </c>
      <c r="I144" s="136">
        <f t="shared" si="179"/>
        <v>10070925003</v>
      </c>
      <c r="J144" s="136">
        <f t="shared" si="179"/>
        <v>171003327</v>
      </c>
      <c r="K144" s="136">
        <f t="shared" si="179"/>
        <v>1899736650</v>
      </c>
      <c r="L144" s="136">
        <f t="shared" si="179"/>
        <v>138372986</v>
      </c>
      <c r="M144" s="136">
        <f t="shared" si="179"/>
        <v>54387</v>
      </c>
      <c r="N144" s="136">
        <f t="shared" si="179"/>
        <v>30665828</v>
      </c>
      <c r="O144" s="136">
        <f t="shared" si="179"/>
        <v>1940856</v>
      </c>
      <c r="P144" s="136">
        <f t="shared" si="179"/>
        <v>3438802</v>
      </c>
      <c r="Q144" s="136">
        <f t="shared" si="179"/>
        <v>345941457</v>
      </c>
      <c r="R144" s="136">
        <f t="shared" si="179"/>
        <v>2356622849</v>
      </c>
      <c r="S144" s="136">
        <f t="shared" si="179"/>
        <v>1142029623</v>
      </c>
      <c r="T144" s="136">
        <f t="shared" si="179"/>
        <v>486796640</v>
      </c>
      <c r="U144" s="136">
        <f t="shared" si="179"/>
        <v>1060833768</v>
      </c>
      <c r="V144" s="136">
        <f t="shared" si="179"/>
        <v>0</v>
      </c>
      <c r="W144" s="136">
        <f t="shared" si="179"/>
        <v>101970259</v>
      </c>
      <c r="X144" s="136">
        <f t="shared" si="179"/>
        <v>2700000000</v>
      </c>
      <c r="Y144" s="136">
        <f t="shared" si="179"/>
        <v>204741836</v>
      </c>
      <c r="Z144" s="136">
        <f t="shared" si="179"/>
        <v>1590548756</v>
      </c>
      <c r="AA144" s="125">
        <f t="shared" si="171"/>
        <v>0.8233309551035658</v>
      </c>
      <c r="AB144" s="136">
        <f t="shared" ref="AB144:AV144" si="180">SUM(AB137:AB143)</f>
        <v>18364909911</v>
      </c>
      <c r="AC144" s="136">
        <f t="shared" si="180"/>
        <v>0</v>
      </c>
      <c r="AD144" s="136">
        <f t="shared" si="180"/>
        <v>0</v>
      </c>
      <c r="AE144" s="136">
        <f t="shared" si="180"/>
        <v>8241465502</v>
      </c>
      <c r="AF144" s="136">
        <f t="shared" si="180"/>
        <v>149170600</v>
      </c>
      <c r="AG144" s="136">
        <f t="shared" si="180"/>
        <v>1691206893</v>
      </c>
      <c r="AH144" s="136">
        <f t="shared" si="180"/>
        <v>126368270</v>
      </c>
      <c r="AI144" s="136">
        <f t="shared" si="180"/>
        <v>0</v>
      </c>
      <c r="AJ144" s="136">
        <f t="shared" si="180"/>
        <v>0</v>
      </c>
      <c r="AK144" s="136">
        <f t="shared" si="180"/>
        <v>0</v>
      </c>
      <c r="AL144" s="136">
        <f t="shared" si="180"/>
        <v>3438802</v>
      </c>
      <c r="AM144" s="136">
        <f t="shared" si="180"/>
        <v>169852012</v>
      </c>
      <c r="AN144" s="136">
        <f t="shared" si="180"/>
        <v>1917215673</v>
      </c>
      <c r="AO144" s="136">
        <f t="shared" si="180"/>
        <v>1111858722</v>
      </c>
      <c r="AP144" s="136">
        <f t="shared" si="180"/>
        <v>453711667</v>
      </c>
      <c r="AQ144" s="136">
        <f t="shared" si="180"/>
        <v>993740853</v>
      </c>
      <c r="AR144" s="136">
        <f t="shared" si="180"/>
        <v>0</v>
      </c>
      <c r="AS144" s="136">
        <f t="shared" si="180"/>
        <v>85302101</v>
      </c>
      <c r="AT144" s="136">
        <f t="shared" si="180"/>
        <v>2032628341</v>
      </c>
      <c r="AU144" s="136">
        <f t="shared" si="180"/>
        <v>111779461</v>
      </c>
      <c r="AV144" s="136">
        <f t="shared" si="180"/>
        <v>1277171014</v>
      </c>
      <c r="AW144" s="108">
        <f t="shared" si="173"/>
        <v>0.1766690448964342</v>
      </c>
      <c r="AX144" s="137">
        <f t="shared" ref="AX144:BQ144" si="181">SUM(AX137:AX143)</f>
        <v>3940713116</v>
      </c>
      <c r="AY144" s="137">
        <f t="shared" si="181"/>
        <v>0</v>
      </c>
      <c r="AZ144" s="137">
        <f t="shared" si="181"/>
        <v>1829459501</v>
      </c>
      <c r="BA144" s="137">
        <f t="shared" si="181"/>
        <v>21832727</v>
      </c>
      <c r="BB144" s="137">
        <f t="shared" si="181"/>
        <v>208529757</v>
      </c>
      <c r="BC144" s="137">
        <f t="shared" si="181"/>
        <v>12004716</v>
      </c>
      <c r="BD144" s="137">
        <f t="shared" si="181"/>
        <v>54387</v>
      </c>
      <c r="BE144" s="137">
        <f t="shared" si="181"/>
        <v>30665828</v>
      </c>
      <c r="BF144" s="137">
        <f t="shared" si="181"/>
        <v>1940856</v>
      </c>
      <c r="BG144" s="137">
        <f t="shared" si="181"/>
        <v>0</v>
      </c>
      <c r="BH144" s="137">
        <f t="shared" si="181"/>
        <v>176089445</v>
      </c>
      <c r="BI144" s="137">
        <f t="shared" si="181"/>
        <v>439407176</v>
      </c>
      <c r="BJ144" s="137">
        <f t="shared" si="181"/>
        <v>30170901</v>
      </c>
      <c r="BK144" s="137">
        <f t="shared" si="181"/>
        <v>33084973</v>
      </c>
      <c r="BL144" s="137">
        <f t="shared" si="181"/>
        <v>67092915</v>
      </c>
      <c r="BM144" s="137">
        <f t="shared" si="181"/>
        <v>0</v>
      </c>
      <c r="BN144" s="137">
        <f t="shared" si="181"/>
        <v>16668158</v>
      </c>
      <c r="BO144" s="137">
        <f t="shared" si="181"/>
        <v>667371659</v>
      </c>
      <c r="BP144" s="137">
        <f t="shared" si="181"/>
        <v>92962375</v>
      </c>
      <c r="BQ144" s="137">
        <f t="shared" si="181"/>
        <v>313377742</v>
      </c>
      <c r="BR144" s="128">
        <f t="shared" si="175"/>
        <v>0.8233309551035658</v>
      </c>
      <c r="BS144" s="28">
        <f t="shared" ref="BS144:CM144" si="182">SUM(BS137:BS143)</f>
        <v>18364909911</v>
      </c>
      <c r="BT144" s="28">
        <f t="shared" si="182"/>
        <v>0</v>
      </c>
      <c r="BU144" s="28">
        <f t="shared" si="182"/>
        <v>0</v>
      </c>
      <c r="BV144" s="28">
        <f t="shared" si="182"/>
        <v>8241465502</v>
      </c>
      <c r="BW144" s="28">
        <f t="shared" si="182"/>
        <v>149170600</v>
      </c>
      <c r="BX144" s="28">
        <f t="shared" si="182"/>
        <v>1691206893</v>
      </c>
      <c r="BY144" s="28">
        <f t="shared" si="182"/>
        <v>126368270</v>
      </c>
      <c r="BZ144" s="28">
        <f t="shared" si="182"/>
        <v>0</v>
      </c>
      <c r="CA144" s="28">
        <f t="shared" si="182"/>
        <v>0</v>
      </c>
      <c r="CB144" s="28">
        <f t="shared" si="182"/>
        <v>0</v>
      </c>
      <c r="CC144" s="28">
        <f t="shared" si="182"/>
        <v>3438802</v>
      </c>
      <c r="CD144" s="28">
        <f t="shared" si="182"/>
        <v>169852012</v>
      </c>
      <c r="CE144" s="28">
        <f t="shared" si="182"/>
        <v>1917215673</v>
      </c>
      <c r="CF144" s="28">
        <f t="shared" si="182"/>
        <v>1111858722</v>
      </c>
      <c r="CG144" s="28">
        <f t="shared" si="182"/>
        <v>453711667</v>
      </c>
      <c r="CH144" s="28">
        <f t="shared" si="182"/>
        <v>993740853</v>
      </c>
      <c r="CI144" s="28">
        <f t="shared" si="182"/>
        <v>0</v>
      </c>
      <c r="CJ144" s="28">
        <f t="shared" si="182"/>
        <v>85302101</v>
      </c>
      <c r="CK144" s="28">
        <f t="shared" si="182"/>
        <v>2032628341</v>
      </c>
      <c r="CL144" s="28">
        <f t="shared" si="182"/>
        <v>111779461</v>
      </c>
      <c r="CM144" s="28">
        <f t="shared" si="182"/>
        <v>1277171014</v>
      </c>
      <c r="CN144" s="25">
        <f t="shared" si="177"/>
        <v>0.1766690448964342</v>
      </c>
      <c r="CO144" s="136">
        <f t="shared" ref="CO144:DH144" ca="1" si="183">SUM(CO137:CO143)</f>
        <v>3940713116</v>
      </c>
      <c r="CP144" s="136">
        <f t="shared" ca="1" si="183"/>
        <v>0</v>
      </c>
      <c r="CQ144" s="136">
        <f t="shared" si="183"/>
        <v>1829459501</v>
      </c>
      <c r="CR144" s="136">
        <f t="shared" si="183"/>
        <v>21832727</v>
      </c>
      <c r="CS144" s="136">
        <f t="shared" si="183"/>
        <v>208529757</v>
      </c>
      <c r="CT144" s="136">
        <f t="shared" si="183"/>
        <v>12004716</v>
      </c>
      <c r="CU144" s="136">
        <f t="shared" si="183"/>
        <v>54387</v>
      </c>
      <c r="CV144" s="136">
        <f t="shared" si="183"/>
        <v>30665828</v>
      </c>
      <c r="CW144" s="136">
        <f t="shared" si="183"/>
        <v>1940856</v>
      </c>
      <c r="CX144" s="136">
        <f t="shared" si="183"/>
        <v>0</v>
      </c>
      <c r="CY144" s="136">
        <f t="shared" si="183"/>
        <v>176089445</v>
      </c>
      <c r="CZ144" s="136">
        <f t="shared" si="183"/>
        <v>439407176</v>
      </c>
      <c r="DA144" s="136">
        <f t="shared" si="183"/>
        <v>30170901</v>
      </c>
      <c r="DB144" s="136">
        <f t="shared" si="183"/>
        <v>33084973</v>
      </c>
      <c r="DC144" s="136">
        <f t="shared" si="183"/>
        <v>67092915</v>
      </c>
      <c r="DD144" s="136">
        <f t="shared" si="183"/>
        <v>0</v>
      </c>
      <c r="DE144" s="136">
        <f t="shared" si="183"/>
        <v>16668158</v>
      </c>
      <c r="DF144" s="136">
        <f t="shared" si="183"/>
        <v>667371659</v>
      </c>
      <c r="DG144" s="136">
        <f t="shared" si="183"/>
        <v>92962375</v>
      </c>
      <c r="DH144" s="136">
        <f t="shared" si="183"/>
        <v>313377742</v>
      </c>
    </row>
    <row r="145" spans="2:112" x14ac:dyDescent="0.25">
      <c r="C145" s="132"/>
      <c r="D145" s="121" t="s">
        <v>263</v>
      </c>
      <c r="E145" s="138">
        <v>301</v>
      </c>
      <c r="F145" s="122"/>
      <c r="G145" s="123">
        <f>SUMIF($E$4:$E$132,"301",$G$4:$G$132)</f>
        <v>2969123548</v>
      </c>
      <c r="H145" s="124">
        <f>SUMIF($E$4:$E$132,"301",$H$4:$H$132)</f>
        <v>200000000</v>
      </c>
      <c r="I145" s="124">
        <f>SUMIF($E$4:$E$132,"301",$I$4:$I$132)</f>
        <v>453168096</v>
      </c>
      <c r="J145" s="123">
        <f>SUMIF($E$4:$E$132,"301",$J$4:$J$132)</f>
        <v>0</v>
      </c>
      <c r="K145" s="122">
        <f>SUMIF($E$4:$E$132,"301",$K$4:$K$132)</f>
        <v>701280247</v>
      </c>
      <c r="L145" s="122">
        <f>SUMIF($E$4:$E$132,"301",$L$4:$L$132)</f>
        <v>0</v>
      </c>
      <c r="M145" s="122">
        <f>SUMIF($E$4:$E$132,"301",$M$4:$M$132)</f>
        <v>0</v>
      </c>
      <c r="N145" s="122">
        <f>SUMIF($E$4:$E$132,"301",$N$4:$N$132)</f>
        <v>0</v>
      </c>
      <c r="O145" s="122">
        <f>SUMIF($E$4:$E$132,"301",$O$4:$O$132)</f>
        <v>0</v>
      </c>
      <c r="P145" s="122">
        <f>SUMIF($E$4:$E$132,"301",$P$4:$P$132)</f>
        <v>0</v>
      </c>
      <c r="Q145" s="122">
        <f>SUMIF($E$4:$E$132,"301",$Q$4:$Q$132)</f>
        <v>0</v>
      </c>
      <c r="R145" s="122">
        <f>SUMIF($E$4:$E$132,"301",$R$4:$R$132)</f>
        <v>0</v>
      </c>
      <c r="S145" s="122">
        <f>SUMIF($E$4:$E$132,"301",$S$4:$S$132)</f>
        <v>0</v>
      </c>
      <c r="T145" s="122">
        <f>SUMIF($E$4:$E$132,"301",$T$4:$T$132)</f>
        <v>0</v>
      </c>
      <c r="U145" s="122">
        <f>SUMIF($E$4:$E$132,"301",$U$4:$U$132)</f>
        <v>245242997</v>
      </c>
      <c r="V145" s="122">
        <f>SUMIF($E$4:$E$124,"301",$V$4:$V$124)</f>
        <v>1262551657</v>
      </c>
      <c r="W145" s="122"/>
      <c r="X145" s="122">
        <f>SUMIF($E$4:$E$124,"301",$X$4:$X$124)</f>
        <v>0</v>
      </c>
      <c r="Y145" s="122">
        <f>SUMIF($E$4:$E$132,"301",$Y$4:$Y$132)</f>
        <v>0</v>
      </c>
      <c r="Z145" s="122">
        <f>SUMIF($E$4:$E$132,"301",$Z$4:$Z$132)</f>
        <v>106880551</v>
      </c>
      <c r="AA145" s="125">
        <f t="shared" si="171"/>
        <v>0.92275936238676182</v>
      </c>
      <c r="AB145" s="28">
        <f>SUM(AD145:AV145)</f>
        <v>2739786552</v>
      </c>
      <c r="AC145" s="123">
        <f>SUMIF($E$4:$E$132,"301",$AC$4:$AC$132)</f>
        <v>0</v>
      </c>
      <c r="AD145" s="123">
        <f>SUMIF($E$4:$E$132,"301",$AD$4:$AD$132)</f>
        <v>193150942</v>
      </c>
      <c r="AE145" s="123">
        <f>SUMIF($E$4:$E$132,"301",$AE$4:$AE$132)</f>
        <v>377850665</v>
      </c>
      <c r="AF145" s="123">
        <f>SUMIF($E$4:$E$132,"301",$AF$4:$AF$132)</f>
        <v>0</v>
      </c>
      <c r="AG145" s="123">
        <f>SUMIF($E$4:$E$132,"301",$AG$4:$AG$132)</f>
        <v>631775394</v>
      </c>
      <c r="AH145" s="123">
        <f>SUMIF($E$4:$E$132,"301",$AH$4:$AH$132)</f>
        <v>0</v>
      </c>
      <c r="AI145" s="123">
        <f>SUMIF($E$4:$E$132,"301",$AI$4:$AI$132)</f>
        <v>0</v>
      </c>
      <c r="AJ145" s="123">
        <f>SUMIF($E$4:$E$132,"301",$AJ$4:$AJ$132)</f>
        <v>0</v>
      </c>
      <c r="AK145" s="123">
        <f>SUMIF($E$4:$E$132,"301",$AK$4:$AK$132)</f>
        <v>0</v>
      </c>
      <c r="AL145" s="123">
        <f>SUMIF($E$4:$E$132,"301",$AL$4:$AL$132)</f>
        <v>0</v>
      </c>
      <c r="AM145" s="123">
        <f>SUMIF($E$4:$E$132,"301",$AM$4:$AM$132)</f>
        <v>0</v>
      </c>
      <c r="AN145" s="123">
        <f>SUMIF($E$4:$E$132,"301",$AN$4:$AN$132)</f>
        <v>0</v>
      </c>
      <c r="AO145" s="123">
        <f>SUMIF($E$4:$E$132,"301",$AO$4:$AO$132)</f>
        <v>0</v>
      </c>
      <c r="AP145" s="123">
        <f>SUMIF($E$4:$E$132,"301",$AP$4:$AP$132)</f>
        <v>0</v>
      </c>
      <c r="AQ145" s="123">
        <f>SUMIF($E$4:$E$132,"301",$AQ$4:$AQ$132)</f>
        <v>231437005</v>
      </c>
      <c r="AR145" s="123">
        <f>SUMIF($E$4:$E$132,"301",$AR$4:$AR$132)</f>
        <v>1205496037</v>
      </c>
      <c r="AS145" s="123">
        <f>SUMIF($E$4:$E$132,"301",$AS$4:$AS$132)</f>
        <v>0</v>
      </c>
      <c r="AT145" s="123">
        <f>SUMIF($E$4:$E$132,"301",$AT$4:$AT$132)</f>
        <v>0</v>
      </c>
      <c r="AU145" s="123">
        <f>SUMIF($E$4:$E$132,"301",$AU$4:$AU$132)</f>
        <v>0</v>
      </c>
      <c r="AV145" s="123">
        <f>SUMIF($E$4:$E$132,"301",$AV$4:$AV$132)</f>
        <v>100076509</v>
      </c>
      <c r="AW145" s="108">
        <f t="shared" si="173"/>
        <v>7.7240637613238183E-2</v>
      </c>
      <c r="AX145" s="28">
        <f>SUM(AY145:BQ145)</f>
        <v>229336996</v>
      </c>
      <c r="AY145" s="126">
        <f>SUMIF($E$4:$E$132,"301",$AY$4:$AY$132)</f>
        <v>6849058</v>
      </c>
      <c r="AZ145" s="126">
        <f>SUMIF($E$4:$E$132,"301",$AZ$4:$AZ$132)</f>
        <v>75317431</v>
      </c>
      <c r="BA145" s="126">
        <f>SUMIF($E$4:$E$132,"301",$BA$4:$BA$132)</f>
        <v>0</v>
      </c>
      <c r="BB145" s="126">
        <f>SUMIF($E$4:$E$132,"301",$BB$4:$BB$132)</f>
        <v>69504853</v>
      </c>
      <c r="BC145" s="126">
        <f>SUMIF($E$4:$E$132,"301",$BC$4:$BC$132)</f>
        <v>0</v>
      </c>
      <c r="BD145" s="126">
        <f>SUMIF($E$4:$E$132,"301",$BD$4:$BD$132)</f>
        <v>0</v>
      </c>
      <c r="BE145" s="126">
        <f>SUMIF($E$4:$E$132,"301",$BE$4:$BE$132)</f>
        <v>0</v>
      </c>
      <c r="BF145" s="126">
        <f>SUMIF($E$4:$E$132,"301",$BF$4:$BF$132)</f>
        <v>0</v>
      </c>
      <c r="BG145" s="126">
        <f>SUMIF($E$4:$E$132,"301",$BG$4:$BG$132)</f>
        <v>0</v>
      </c>
      <c r="BH145" s="126">
        <f>SUMIF($E$4:$E$132,"301",$BH$4:$BH$132)</f>
        <v>0</v>
      </c>
      <c r="BI145" s="126">
        <f>SUMIF($E$4:$E$132,"301",$BI$4:$BI$132)</f>
        <v>0</v>
      </c>
      <c r="BJ145" s="126">
        <f>SUMIF($E$4:$E$132,"301",$BJ$4:$BJ$132)</f>
        <v>0</v>
      </c>
      <c r="BK145" s="126">
        <f>SUMIF($E$4:$E$132,"301",$BK$4:$BK$132)</f>
        <v>0</v>
      </c>
      <c r="BL145" s="126">
        <f>SUMIF($E$4:$E$132,"301",$BL$4:$BL$132)</f>
        <v>13805992</v>
      </c>
      <c r="BM145" s="126">
        <f>SUMIF($E$4:$E$132,"301",$BM$4:$BM$132)</f>
        <v>57055620</v>
      </c>
      <c r="BN145" s="126"/>
      <c r="BO145" s="126">
        <f>SUMIF($E$4:$E$132,"301",$BO$4:$BO$132)</f>
        <v>0</v>
      </c>
      <c r="BP145" s="126"/>
      <c r="BQ145" s="127">
        <f>SUMIF($E$4:$E$132,"301",$BQ$4:$BQ$132)</f>
        <v>6804042</v>
      </c>
      <c r="BR145" s="128">
        <f t="shared" si="175"/>
        <v>0.92275936238676182</v>
      </c>
      <c r="BS145" s="28">
        <f>SUM(BU145:CM145)</f>
        <v>2739786552</v>
      </c>
      <c r="BT145" s="123">
        <f>SUMIF($E$4:$E$132,"111",$BT$4:$BT$132)</f>
        <v>0</v>
      </c>
      <c r="BU145" s="123">
        <f>SUMIF($E$4:$E$132,"301",$BU$4:$BU$132)</f>
        <v>193150942</v>
      </c>
      <c r="BV145" s="123">
        <f>SUMIF($E$4:$E$132,"301",$BV$4:$BV$132)</f>
        <v>377850665</v>
      </c>
      <c r="BW145" s="123">
        <f>SUMIF($E$4:$E$132,"301",$BW$4:$BW$132)</f>
        <v>0</v>
      </c>
      <c r="BX145" s="123">
        <f>SUMIF($E$4:$E$132,"301",$BX$4:$BX$132)</f>
        <v>631775394</v>
      </c>
      <c r="BY145" s="123">
        <f>SUMIF($E$4:$E$132,"301",$BY$4:$BY$132)</f>
        <v>0</v>
      </c>
      <c r="BZ145" s="123">
        <f>SUMIF($E$4:$E$132,"301",$BZ$4:$BZ$132)</f>
        <v>0</v>
      </c>
      <c r="CA145" s="123">
        <f>SUMIF($E$4:$E$132,"301",$CA$4:$CA$132)</f>
        <v>0</v>
      </c>
      <c r="CB145" s="123">
        <f>SUMIF($E$4:$E$132,"301",$CB$4:$CB$132)</f>
        <v>0</v>
      </c>
      <c r="CC145" s="123">
        <f>SUMIF($E$4:$E$132,"301",$CC$4:$CC$132)</f>
        <v>0</v>
      </c>
      <c r="CD145" s="123">
        <f>SUMIF($E$4:$E$132,"301",$CD$4:$CD$132)</f>
        <v>0</v>
      </c>
      <c r="CE145" s="123">
        <f>SUMIF($E$4:$E$132,"301",$CE$4:$CE$132)</f>
        <v>0</v>
      </c>
      <c r="CF145" s="123">
        <f>SUMIF($E$4:$E$132,"301",$CF$4:$CF$132)</f>
        <v>0</v>
      </c>
      <c r="CG145" s="123">
        <f>SUMIF($E$4:$E$132,"301",$CG$4:$CG$132)</f>
        <v>0</v>
      </c>
      <c r="CH145" s="123">
        <f>SUMIF($E$4:$E$132,"301",$CH$4:$CH$132)</f>
        <v>231437005</v>
      </c>
      <c r="CI145" s="123">
        <f>SUMIF($E$4:$E$132,"301",$CI$4:$CI$132)</f>
        <v>1205496037</v>
      </c>
      <c r="CJ145" s="123">
        <f>SUMIF($E$4:$E$132,"301",$CJ$4:$CJ$132)</f>
        <v>0</v>
      </c>
      <c r="CK145" s="123">
        <f>SUMIF($E$4:$E$132,"301",$CK$4:$CK$132)</f>
        <v>0</v>
      </c>
      <c r="CL145" s="123">
        <f>SUMIF($E$4:$E$132,"301",$CL$4:$CL$132)</f>
        <v>0</v>
      </c>
      <c r="CM145" s="129">
        <f>SUMIF($E$4:$E$132,"301",$CM$4:$CM$132)</f>
        <v>100076509</v>
      </c>
      <c r="CN145" s="25">
        <f t="shared" si="177"/>
        <v>7.7240637613238183E-2</v>
      </c>
      <c r="CO145" s="28">
        <f>SUM(CP145:DH145)</f>
        <v>229336996</v>
      </c>
      <c r="CP145" s="126">
        <f>SUMIF($E$4:$E$132,"301",$CP$4:$CP$132)</f>
        <v>6849058</v>
      </c>
      <c r="CQ145" s="126">
        <f>SUMIF($E$4:$E$132,"301",$CQ$4:$CQ$132)</f>
        <v>75317431</v>
      </c>
      <c r="CR145" s="126">
        <f>SUMIF($E$4:$E$132,"301",$CR$4:$CR$132)</f>
        <v>0</v>
      </c>
      <c r="CS145" s="126">
        <f>SUMIF($E$4:$E$132,"301",$CS$4:$CS$132)</f>
        <v>69504853</v>
      </c>
      <c r="CT145" s="126">
        <f>SUMIF($E$4:$E$132,"301",$CT$4:$CT$132)</f>
        <v>0</v>
      </c>
      <c r="CU145" s="126">
        <f>SUMIF($E$4:$E$132,"301",$CU$4:$CU$132)</f>
        <v>0</v>
      </c>
      <c r="CV145" s="130">
        <f>SUMIF($E$4:$E$132,"301",$CV$4:$CV$132)</f>
        <v>0</v>
      </c>
      <c r="CW145" s="130">
        <f>SUMIF($E$4:$E$132,"301",$CW$4:$CW$132)</f>
        <v>0</v>
      </c>
      <c r="CX145" s="130">
        <f>SUMIF($E$4:$E$132,"301",$CX$4:$CX$132)</f>
        <v>0</v>
      </c>
      <c r="CY145" s="130">
        <f>SUMIF($E$4:$E$132,"301",$CY$4:$CY$132)</f>
        <v>0</v>
      </c>
      <c r="CZ145" s="130">
        <f>SUMIF($E$4:$E$132,"301",$CZ$4:$CZ$132)</f>
        <v>0</v>
      </c>
      <c r="DA145" s="130">
        <f>SUMIF($E$4:$E$132,"301",$DA$4:$DA$132)</f>
        <v>0</v>
      </c>
      <c r="DB145" s="130">
        <f>SUMIF($E$4:$E$132,"301",$DB$4:$DB$132)</f>
        <v>0</v>
      </c>
      <c r="DC145" s="130">
        <f>SUMIF($E$4:$E$132,"301",$DC$4:$DC$132)</f>
        <v>13805992</v>
      </c>
      <c r="DD145" s="130">
        <f>SUMIF($E$4:$E$132,"301",$DD$4:$DD$132)</f>
        <v>57055620</v>
      </c>
      <c r="DE145" s="130">
        <f>SUMIF($E$4:$E$132,"301",$DE$4:$DE$132)</f>
        <v>0</v>
      </c>
      <c r="DF145" s="130">
        <f>SUMIF($E$4:$E$132,"301",$DF$4:$DF$132)</f>
        <v>0</v>
      </c>
      <c r="DG145" s="130">
        <f>SUMIF($E$4:$E$132,"301",$DG$4:$DG$132)</f>
        <v>0</v>
      </c>
      <c r="DH145" s="130">
        <f>SUMIF($E$4:$E$132,"301",$DH$4:$DH$132)</f>
        <v>6804042</v>
      </c>
    </row>
    <row r="146" spans="2:112" ht="15.75" thickBot="1" x14ac:dyDescent="0.3">
      <c r="C146" s="266" t="s">
        <v>381</v>
      </c>
      <c r="D146" s="267"/>
      <c r="E146" s="139"/>
      <c r="F146" s="140"/>
      <c r="G146" s="141">
        <f t="shared" ref="G146:Z146" si="184">SUM(G144:G145)</f>
        <v>25274746575</v>
      </c>
      <c r="H146" s="141">
        <f t="shared" si="184"/>
        <v>200000000</v>
      </c>
      <c r="I146" s="141">
        <f t="shared" si="184"/>
        <v>10524093099</v>
      </c>
      <c r="J146" s="141">
        <f t="shared" si="184"/>
        <v>171003327</v>
      </c>
      <c r="K146" s="141">
        <f t="shared" si="184"/>
        <v>2601016897</v>
      </c>
      <c r="L146" s="141">
        <f t="shared" si="184"/>
        <v>138372986</v>
      </c>
      <c r="M146" s="141">
        <f t="shared" si="184"/>
        <v>54387</v>
      </c>
      <c r="N146" s="141">
        <f t="shared" si="184"/>
        <v>30665828</v>
      </c>
      <c r="O146" s="141">
        <f t="shared" si="184"/>
        <v>1940856</v>
      </c>
      <c r="P146" s="141">
        <f t="shared" si="184"/>
        <v>3438802</v>
      </c>
      <c r="Q146" s="141">
        <f t="shared" si="184"/>
        <v>345941457</v>
      </c>
      <c r="R146" s="141">
        <f t="shared" si="184"/>
        <v>2356622849</v>
      </c>
      <c r="S146" s="141">
        <f t="shared" si="184"/>
        <v>1142029623</v>
      </c>
      <c r="T146" s="142">
        <f t="shared" si="184"/>
        <v>486796640</v>
      </c>
      <c r="U146" s="141">
        <f t="shared" si="184"/>
        <v>1306076765</v>
      </c>
      <c r="V146" s="141">
        <f t="shared" si="184"/>
        <v>1262551657</v>
      </c>
      <c r="W146" s="141">
        <f t="shared" si="184"/>
        <v>101970259</v>
      </c>
      <c r="X146" s="141">
        <f t="shared" si="184"/>
        <v>2700000000</v>
      </c>
      <c r="Y146" s="141">
        <f t="shared" si="184"/>
        <v>204741836</v>
      </c>
      <c r="Z146" s="141">
        <f t="shared" si="184"/>
        <v>1697429307</v>
      </c>
      <c r="AA146" s="143">
        <f t="shared" si="171"/>
        <v>0.83501119983039829</v>
      </c>
      <c r="AB146" s="144">
        <f t="shared" ref="AB146:AV146" si="185">AB144+AB145</f>
        <v>21104696463</v>
      </c>
      <c r="AC146" s="144">
        <f t="shared" si="185"/>
        <v>0</v>
      </c>
      <c r="AD146" s="144">
        <f t="shared" si="185"/>
        <v>193150942</v>
      </c>
      <c r="AE146" s="144">
        <f t="shared" si="185"/>
        <v>8619316167</v>
      </c>
      <c r="AF146" s="144">
        <f t="shared" si="185"/>
        <v>149170600</v>
      </c>
      <c r="AG146" s="144">
        <f t="shared" si="185"/>
        <v>2322982287</v>
      </c>
      <c r="AH146" s="144">
        <f t="shared" si="185"/>
        <v>126368270</v>
      </c>
      <c r="AI146" s="144">
        <f t="shared" si="185"/>
        <v>0</v>
      </c>
      <c r="AJ146" s="144">
        <f t="shared" si="185"/>
        <v>0</v>
      </c>
      <c r="AK146" s="144">
        <f t="shared" si="185"/>
        <v>0</v>
      </c>
      <c r="AL146" s="144">
        <f t="shared" si="185"/>
        <v>3438802</v>
      </c>
      <c r="AM146" s="144">
        <f t="shared" si="185"/>
        <v>169852012</v>
      </c>
      <c r="AN146" s="144">
        <f t="shared" si="185"/>
        <v>1917215673</v>
      </c>
      <c r="AO146" s="144">
        <f t="shared" si="185"/>
        <v>1111858722</v>
      </c>
      <c r="AP146" s="144">
        <f t="shared" si="185"/>
        <v>453711667</v>
      </c>
      <c r="AQ146" s="144">
        <f t="shared" si="185"/>
        <v>1225177858</v>
      </c>
      <c r="AR146" s="144">
        <f t="shared" si="185"/>
        <v>1205496037</v>
      </c>
      <c r="AS146" s="144">
        <f t="shared" si="185"/>
        <v>85302101</v>
      </c>
      <c r="AT146" s="144">
        <f t="shared" si="185"/>
        <v>2032628341</v>
      </c>
      <c r="AU146" s="144">
        <f t="shared" si="185"/>
        <v>111779461</v>
      </c>
      <c r="AV146" s="144">
        <f t="shared" si="185"/>
        <v>1377247523</v>
      </c>
      <c r="AW146" s="158">
        <f t="shared" si="173"/>
        <v>0.16498880016960171</v>
      </c>
      <c r="AX146" s="144">
        <f>AX144+AX145</f>
        <v>4170050112</v>
      </c>
      <c r="AY146" s="144">
        <f>AY144+AY145</f>
        <v>6849058</v>
      </c>
      <c r="AZ146" s="145">
        <f t="shared" ref="AZ146:BQ146" si="186">+AZ144+AZ145</f>
        <v>1904776932</v>
      </c>
      <c r="BA146" s="145">
        <f t="shared" si="186"/>
        <v>21832727</v>
      </c>
      <c r="BB146" s="145">
        <f t="shared" si="186"/>
        <v>278034610</v>
      </c>
      <c r="BC146" s="145">
        <f t="shared" si="186"/>
        <v>12004716</v>
      </c>
      <c r="BD146" s="145">
        <f t="shared" si="186"/>
        <v>54387</v>
      </c>
      <c r="BE146" s="145">
        <f t="shared" si="186"/>
        <v>30665828</v>
      </c>
      <c r="BF146" s="145">
        <f t="shared" si="186"/>
        <v>1940856</v>
      </c>
      <c r="BG146" s="145">
        <f t="shared" si="186"/>
        <v>0</v>
      </c>
      <c r="BH146" s="145">
        <f t="shared" si="186"/>
        <v>176089445</v>
      </c>
      <c r="BI146" s="145">
        <f t="shared" si="186"/>
        <v>439407176</v>
      </c>
      <c r="BJ146" s="145">
        <f t="shared" si="186"/>
        <v>30170901</v>
      </c>
      <c r="BK146" s="145">
        <f t="shared" si="186"/>
        <v>33084973</v>
      </c>
      <c r="BL146" s="145">
        <f t="shared" si="186"/>
        <v>80898907</v>
      </c>
      <c r="BM146" s="145">
        <f t="shared" si="186"/>
        <v>57055620</v>
      </c>
      <c r="BN146" s="145">
        <f t="shared" si="186"/>
        <v>16668158</v>
      </c>
      <c r="BO146" s="145">
        <f t="shared" si="186"/>
        <v>667371659</v>
      </c>
      <c r="BP146" s="145">
        <f t="shared" si="186"/>
        <v>92962375</v>
      </c>
      <c r="BQ146" s="145">
        <f t="shared" si="186"/>
        <v>320181784</v>
      </c>
      <c r="BR146" s="146">
        <f t="shared" si="175"/>
        <v>0.83501119983039829</v>
      </c>
      <c r="BS146" s="147">
        <f>+BS144+BS145</f>
        <v>21104696463</v>
      </c>
      <c r="BT146" s="145">
        <f>+BT144+BT145</f>
        <v>0</v>
      </c>
      <c r="BU146" s="145">
        <f>+BU144+BU145</f>
        <v>193150942</v>
      </c>
      <c r="BV146" s="145">
        <f>+BV144+BV145</f>
        <v>8619316167</v>
      </c>
      <c r="BW146" s="145">
        <f>+BW144+BW145</f>
        <v>149170600</v>
      </c>
      <c r="BX146" s="141">
        <f t="shared" ref="BX146:CM146" si="187">SUM(BX144:BX145)</f>
        <v>2322982287</v>
      </c>
      <c r="BY146" s="141">
        <f t="shared" si="187"/>
        <v>126368270</v>
      </c>
      <c r="BZ146" s="141">
        <f t="shared" si="187"/>
        <v>0</v>
      </c>
      <c r="CA146" s="141">
        <f t="shared" si="187"/>
        <v>0</v>
      </c>
      <c r="CB146" s="141">
        <f t="shared" si="187"/>
        <v>0</v>
      </c>
      <c r="CC146" s="141">
        <f t="shared" si="187"/>
        <v>3438802</v>
      </c>
      <c r="CD146" s="141">
        <f t="shared" si="187"/>
        <v>169852012</v>
      </c>
      <c r="CE146" s="141">
        <f t="shared" si="187"/>
        <v>1917215673</v>
      </c>
      <c r="CF146" s="141">
        <f t="shared" si="187"/>
        <v>1111858722</v>
      </c>
      <c r="CG146" s="141">
        <f t="shared" si="187"/>
        <v>453711667</v>
      </c>
      <c r="CH146" s="141">
        <f t="shared" si="187"/>
        <v>1225177858</v>
      </c>
      <c r="CI146" s="141">
        <f t="shared" si="187"/>
        <v>1205496037</v>
      </c>
      <c r="CJ146" s="141">
        <f t="shared" si="187"/>
        <v>85302101</v>
      </c>
      <c r="CK146" s="141">
        <f t="shared" si="187"/>
        <v>2032628341</v>
      </c>
      <c r="CL146" s="141">
        <f t="shared" si="187"/>
        <v>111779461</v>
      </c>
      <c r="CM146" s="148">
        <f t="shared" si="187"/>
        <v>1377247523</v>
      </c>
      <c r="CN146" s="149">
        <f t="shared" si="177"/>
        <v>0.16498880016960171</v>
      </c>
      <c r="CO146" s="141">
        <f t="shared" ref="CO146:DH146" ca="1" si="188">SUM(CO144:CO145)</f>
        <v>4170050112</v>
      </c>
      <c r="CP146" s="148">
        <f t="shared" ca="1" si="188"/>
        <v>6849058</v>
      </c>
      <c r="CQ146" s="148">
        <f t="shared" si="188"/>
        <v>1904776932</v>
      </c>
      <c r="CR146" s="148">
        <f t="shared" si="188"/>
        <v>21832727</v>
      </c>
      <c r="CS146" s="141">
        <f t="shared" si="188"/>
        <v>278034610</v>
      </c>
      <c r="CT146" s="141">
        <f t="shared" si="188"/>
        <v>12004716</v>
      </c>
      <c r="CU146" s="141">
        <f t="shared" si="188"/>
        <v>54387</v>
      </c>
      <c r="CV146" s="150">
        <f t="shared" si="188"/>
        <v>30665828</v>
      </c>
      <c r="CW146" s="150">
        <f t="shared" si="188"/>
        <v>1940856</v>
      </c>
      <c r="CX146" s="150">
        <f t="shared" si="188"/>
        <v>0</v>
      </c>
      <c r="CY146" s="150">
        <f t="shared" si="188"/>
        <v>176089445</v>
      </c>
      <c r="CZ146" s="150">
        <f t="shared" si="188"/>
        <v>439407176</v>
      </c>
      <c r="DA146" s="150">
        <f t="shared" si="188"/>
        <v>30170901</v>
      </c>
      <c r="DB146" s="150">
        <f t="shared" si="188"/>
        <v>33084973</v>
      </c>
      <c r="DC146" s="150">
        <f t="shared" si="188"/>
        <v>80898907</v>
      </c>
      <c r="DD146" s="150">
        <f t="shared" si="188"/>
        <v>57055620</v>
      </c>
      <c r="DE146" s="150">
        <f t="shared" si="188"/>
        <v>16668158</v>
      </c>
      <c r="DF146" s="150">
        <f t="shared" si="188"/>
        <v>667371659</v>
      </c>
      <c r="DG146" s="150">
        <f t="shared" si="188"/>
        <v>92962375</v>
      </c>
      <c r="DH146" s="150">
        <f t="shared" si="188"/>
        <v>320181784</v>
      </c>
    </row>
    <row r="147" spans="2:112" ht="15.75" thickTop="1" x14ac:dyDescent="0.25">
      <c r="B147" t="s">
        <v>384</v>
      </c>
      <c r="D147" s="156"/>
      <c r="E147" s="152"/>
      <c r="F147" s="157"/>
      <c r="G147" s="154"/>
      <c r="BP147" s="52"/>
      <c r="BS147" s="52"/>
    </row>
    <row r="148" spans="2:112" x14ac:dyDescent="0.25">
      <c r="B148" t="s">
        <v>385</v>
      </c>
      <c r="D148" s="156"/>
      <c r="E148" s="152"/>
      <c r="F148" s="157"/>
      <c r="G148" s="154"/>
    </row>
    <row r="149" spans="2:112" x14ac:dyDescent="0.25">
      <c r="D149" s="155"/>
      <c r="E149" s="152"/>
      <c r="F149" s="153"/>
      <c r="G149" s="154"/>
      <c r="H149" s="52"/>
      <c r="AB149" s="52"/>
    </row>
    <row r="150" spans="2:112" x14ac:dyDescent="0.25">
      <c r="D150" s="155"/>
      <c r="E150" s="152"/>
      <c r="F150" s="151"/>
      <c r="G150" s="154"/>
      <c r="AB150" s="52"/>
    </row>
    <row r="151" spans="2:112" x14ac:dyDescent="0.25">
      <c r="D151" s="155"/>
      <c r="E151" s="152"/>
      <c r="F151" s="151"/>
      <c r="G151" s="154"/>
    </row>
    <row r="152" spans="2:112" x14ac:dyDescent="0.25">
      <c r="AB152" s="52"/>
    </row>
    <row r="153" spans="2:112" x14ac:dyDescent="0.25">
      <c r="F153" s="52"/>
    </row>
  </sheetData>
  <mergeCells count="82">
    <mergeCell ref="P1:P3"/>
    <mergeCell ref="Q1:Q3"/>
    <mergeCell ref="R1:R3"/>
    <mergeCell ref="S1:S3"/>
    <mergeCell ref="N1:N3"/>
    <mergeCell ref="O1:O3"/>
    <mergeCell ref="L1:L3"/>
    <mergeCell ref="M1:M3"/>
    <mergeCell ref="B4:B6"/>
    <mergeCell ref="B8:B12"/>
    <mergeCell ref="B14:B16"/>
    <mergeCell ref="F2:F3"/>
    <mergeCell ref="C1:F1"/>
    <mergeCell ref="I1:I3"/>
    <mergeCell ref="J1:J3"/>
    <mergeCell ref="K1:K3"/>
    <mergeCell ref="B2:B3"/>
    <mergeCell ref="C2:C3"/>
    <mergeCell ref="D2:D3"/>
    <mergeCell ref="E2:E3"/>
    <mergeCell ref="B18:B19"/>
    <mergeCell ref="H1:H3"/>
    <mergeCell ref="A35:A49"/>
    <mergeCell ref="B35:B38"/>
    <mergeCell ref="B39:B42"/>
    <mergeCell ref="B43:B45"/>
    <mergeCell ref="B46:B49"/>
    <mergeCell ref="G1:G3"/>
    <mergeCell ref="A2:A3"/>
    <mergeCell ref="B113:F113"/>
    <mergeCell ref="A114:A125"/>
    <mergeCell ref="B114:B116"/>
    <mergeCell ref="B117:B125"/>
    <mergeCell ref="A73:A85"/>
    <mergeCell ref="B73:B79"/>
    <mergeCell ref="B80:B81"/>
    <mergeCell ref="B82:B85"/>
    <mergeCell ref="A86:A92"/>
    <mergeCell ref="B86:B87"/>
    <mergeCell ref="B88:B92"/>
    <mergeCell ref="B93:F93"/>
    <mergeCell ref="A95:A109"/>
    <mergeCell ref="B95:B102"/>
    <mergeCell ref="B106:B108"/>
    <mergeCell ref="A61:A72"/>
    <mergeCell ref="B61:B63"/>
    <mergeCell ref="B65:B72"/>
    <mergeCell ref="B20:E20"/>
    <mergeCell ref="B21:B23"/>
    <mergeCell ref="B26:B34"/>
    <mergeCell ref="A50:A59"/>
    <mergeCell ref="B50:B51"/>
    <mergeCell ref="B52:B53"/>
    <mergeCell ref="B54:B59"/>
    <mergeCell ref="B60:E60"/>
    <mergeCell ref="A127:A132"/>
    <mergeCell ref="B127:B129"/>
    <mergeCell ref="B133:D133"/>
    <mergeCell ref="C135:E135"/>
    <mergeCell ref="C146:D146"/>
    <mergeCell ref="AI1:AJ2"/>
    <mergeCell ref="T1:T3"/>
    <mergeCell ref="U1:U3"/>
    <mergeCell ref="V1:V3"/>
    <mergeCell ref="W1:W3"/>
    <mergeCell ref="X1:X3"/>
    <mergeCell ref="Y1:Y3"/>
    <mergeCell ref="Z1:Z3"/>
    <mergeCell ref="AA1:AB2"/>
    <mergeCell ref="AC1:AD2"/>
    <mergeCell ref="AE1:AF2"/>
    <mergeCell ref="AG1:AH2"/>
    <mergeCell ref="AW1:AX2"/>
    <mergeCell ref="AY1:AZ2"/>
    <mergeCell ref="BR1:BS2"/>
    <mergeCell ref="CN1:CO2"/>
    <mergeCell ref="AK1:AL2"/>
    <mergeCell ref="AM1:AN2"/>
    <mergeCell ref="AO1:AP2"/>
    <mergeCell ref="AQ1:AR2"/>
    <mergeCell ref="AS1:AT2"/>
    <mergeCell ref="AU1:AV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 XX DEL 29 DE DICIEMBRE 
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55"/>
  <sheetViews>
    <sheetView showGridLines="0" tabSelected="1" topLeftCell="C1" zoomScaleNormal="100" zoomScalePageLayoutView="50" workbookViewId="0">
      <pane xSplit="2" ySplit="3" topLeftCell="E159" activePane="bottomRight" state="frozen"/>
      <selection activeCell="C1" sqref="C1"/>
      <selection pane="topRight" activeCell="E1" sqref="E1"/>
      <selection pane="bottomLeft" activeCell="C4" sqref="C4"/>
      <selection pane="bottomRight" activeCell="BS146" sqref="BS146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7.28515625" bestFit="1" customWidth="1"/>
    <col min="5" max="5" width="6.28515625" customWidth="1"/>
    <col min="6" max="6" width="14.28515625" customWidth="1"/>
    <col min="7" max="7" width="1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6" width="9.140625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140625" hidden="1" customWidth="1"/>
    <col min="24" max="24" width="12.7109375" hidden="1" customWidth="1"/>
    <col min="25" max="26" width="12.28515625" hidden="1" customWidth="1"/>
    <col min="27" max="27" width="9.7109375" customWidth="1"/>
    <col min="28" max="28" width="13.7109375" bestFit="1" customWidth="1"/>
    <col min="29" max="29" width="14.4257812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6.140625" hidden="1" customWidth="1"/>
    <col min="34" max="35" width="15" hidden="1" customWidth="1"/>
    <col min="36" max="36" width="11.7109375" hidden="1" customWidth="1"/>
    <col min="37" max="37" width="13.28515625" hidden="1" customWidth="1"/>
    <col min="38" max="38" width="12.5703125" hidden="1" customWidth="1"/>
    <col min="39" max="39" width="14.42578125" hidden="1" customWidth="1"/>
    <col min="40" max="40" width="14.140625" hidden="1" customWidth="1"/>
    <col min="41" max="41" width="13.28515625" hidden="1" customWidth="1"/>
    <col min="42" max="42" width="13.5703125" hidden="1" customWidth="1"/>
    <col min="43" max="43" width="13.42578125" hidden="1" customWidth="1"/>
    <col min="44" max="44" width="17.7109375" hidden="1" customWidth="1"/>
    <col min="45" max="45" width="13.4257812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49" width="11.42578125" customWidth="1"/>
    <col min="50" max="50" width="14.85546875" customWidth="1"/>
    <col min="51" max="51" width="14.5703125" hidden="1" customWidth="1"/>
    <col min="52" max="52" width="15.140625" hidden="1" customWidth="1"/>
    <col min="53" max="53" width="14.42578125" hidden="1" customWidth="1"/>
    <col min="54" max="54" width="11.28515625" hidden="1" customWidth="1"/>
    <col min="55" max="55" width="13.85546875" hidden="1" customWidth="1"/>
    <col min="56" max="56" width="10" hidden="1" customWidth="1"/>
    <col min="57" max="57" width="11" hidden="1" customWidth="1"/>
    <col min="58" max="59" width="9.28515625" hidden="1" customWidth="1"/>
    <col min="60" max="60" width="12.5703125" hidden="1" customWidth="1"/>
    <col min="61" max="61" width="13.5703125" hidden="1" customWidth="1"/>
    <col min="62" max="62" width="15.140625" hidden="1" customWidth="1"/>
    <col min="63" max="63" width="13.85546875" hidden="1" customWidth="1"/>
    <col min="64" max="64" width="15" hidden="1" customWidth="1"/>
    <col min="65" max="66" width="13.42578125" hidden="1" customWidth="1"/>
    <col min="67" max="67" width="13.5703125" hidden="1" customWidth="1"/>
    <col min="68" max="68" width="15.5703125" hidden="1" customWidth="1"/>
    <col min="69" max="69" width="12.85546875" hidden="1" customWidth="1"/>
    <col min="70" max="70" width="9.5703125" customWidth="1"/>
    <col min="71" max="71" width="14" customWidth="1"/>
    <col min="72" max="72" width="14" hidden="1" customWidth="1"/>
    <col min="73" max="73" width="12.28515625" hidden="1" customWidth="1"/>
    <col min="74" max="74" width="13.4257812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8" width="14.28515625" hidden="1" customWidth="1"/>
    <col min="89" max="89" width="13.7109375" hidden="1" customWidth="1"/>
    <col min="90" max="90" width="12.28515625" hidden="1" customWidth="1"/>
    <col min="91" max="91" width="13.42578125" hidden="1" customWidth="1"/>
    <col min="92" max="92" width="8.28515625" bestFit="1" customWidth="1"/>
    <col min="93" max="93" width="12.7109375" bestFit="1" customWidth="1"/>
    <col min="94" max="94" width="13.7109375" hidden="1" customWidth="1"/>
    <col min="95" max="95" width="14.42578125" hidden="1" customWidth="1"/>
    <col min="96" max="96" width="15.5703125" hidden="1" customWidth="1"/>
    <col min="97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9" width="14.42578125" hidden="1" customWidth="1"/>
    <col min="110" max="111" width="14.85546875" hidden="1" customWidth="1"/>
    <col min="112" max="112" width="13.5703125" hidden="1" customWidth="1"/>
    <col min="113" max="113" width="5.140625" customWidth="1"/>
    <col min="116" max="117" width="14.7109375" customWidth="1"/>
  </cols>
  <sheetData>
    <row r="1" spans="1:118" ht="15" customHeight="1" x14ac:dyDescent="0.3">
      <c r="C1" s="211" t="s">
        <v>0</v>
      </c>
      <c r="D1" s="211"/>
      <c r="E1" s="211"/>
      <c r="F1" s="211"/>
      <c r="G1" s="280" t="s">
        <v>11</v>
      </c>
      <c r="H1" s="280" t="s">
        <v>11</v>
      </c>
      <c r="I1" s="280" t="s">
        <v>11</v>
      </c>
      <c r="J1" s="280" t="s">
        <v>11</v>
      </c>
      <c r="K1" s="280" t="s">
        <v>11</v>
      </c>
      <c r="L1" s="280" t="s">
        <v>11</v>
      </c>
      <c r="M1" s="280" t="s">
        <v>11</v>
      </c>
      <c r="N1" s="280" t="s">
        <v>11</v>
      </c>
      <c r="O1" s="280" t="s">
        <v>11</v>
      </c>
      <c r="P1" s="280" t="s">
        <v>11</v>
      </c>
      <c r="Q1" s="280" t="s">
        <v>11</v>
      </c>
      <c r="R1" s="280" t="s">
        <v>11</v>
      </c>
      <c r="S1" s="280" t="s">
        <v>11</v>
      </c>
      <c r="T1" s="280" t="s">
        <v>11</v>
      </c>
      <c r="U1" s="280" t="s">
        <v>11</v>
      </c>
      <c r="V1" s="280" t="s">
        <v>11</v>
      </c>
      <c r="W1" s="280" t="s">
        <v>11</v>
      </c>
      <c r="X1" s="280" t="s">
        <v>11</v>
      </c>
      <c r="Y1" s="280" t="s">
        <v>11</v>
      </c>
      <c r="Z1" s="280" t="s">
        <v>11</v>
      </c>
      <c r="AA1" s="272" t="s">
        <v>386</v>
      </c>
      <c r="AB1" s="273"/>
      <c r="AC1" s="272" t="s">
        <v>386</v>
      </c>
      <c r="AD1" s="273"/>
      <c r="AE1" s="272" t="s">
        <v>386</v>
      </c>
      <c r="AF1" s="273"/>
      <c r="AG1" s="272" t="s">
        <v>386</v>
      </c>
      <c r="AH1" s="273"/>
      <c r="AI1" s="272" t="s">
        <v>386</v>
      </c>
      <c r="AJ1" s="273"/>
      <c r="AK1" s="272" t="s">
        <v>386</v>
      </c>
      <c r="AL1" s="273"/>
      <c r="AM1" s="272" t="s">
        <v>386</v>
      </c>
      <c r="AN1" s="273"/>
      <c r="AO1" s="272" t="s">
        <v>386</v>
      </c>
      <c r="AP1" s="273"/>
      <c r="AQ1" s="272" t="s">
        <v>386</v>
      </c>
      <c r="AR1" s="273"/>
      <c r="AS1" s="272" t="s">
        <v>386</v>
      </c>
      <c r="AT1" s="273"/>
      <c r="AU1" s="272" t="s">
        <v>386</v>
      </c>
      <c r="AV1" s="273"/>
      <c r="AW1" s="276" t="s">
        <v>388</v>
      </c>
      <c r="AX1" s="277"/>
      <c r="AY1" s="272" t="s">
        <v>389</v>
      </c>
      <c r="AZ1" s="273"/>
      <c r="BA1" s="163"/>
      <c r="BB1" s="163"/>
      <c r="BC1" s="163"/>
      <c r="BD1" s="163"/>
      <c r="BE1" s="163"/>
      <c r="BF1" s="163"/>
      <c r="BG1" s="163"/>
      <c r="BH1" s="163"/>
      <c r="BI1" s="163"/>
      <c r="BJ1" s="163"/>
      <c r="BK1" s="163"/>
      <c r="BL1" s="163"/>
      <c r="BM1" s="163"/>
      <c r="BN1" s="163"/>
      <c r="BO1" s="163"/>
      <c r="BP1" s="163"/>
      <c r="BQ1" s="163"/>
      <c r="BR1" s="272" t="s">
        <v>389</v>
      </c>
      <c r="BS1" s="273"/>
      <c r="BT1" s="163"/>
      <c r="BU1" s="163"/>
      <c r="BV1" s="163"/>
      <c r="BW1" s="163"/>
      <c r="BX1" s="163"/>
      <c r="BY1" s="163"/>
      <c r="BZ1" s="163"/>
      <c r="CA1" s="163"/>
      <c r="CB1" s="163"/>
      <c r="CC1" s="163"/>
      <c r="CD1" s="163"/>
      <c r="CE1" s="163"/>
      <c r="CF1" s="163"/>
      <c r="CG1" s="163"/>
      <c r="CH1" s="163"/>
      <c r="CI1" s="163"/>
      <c r="CJ1" s="163"/>
      <c r="CK1" s="163"/>
      <c r="CL1" s="163"/>
      <c r="CM1" s="164"/>
      <c r="CN1" s="276" t="s">
        <v>390</v>
      </c>
      <c r="CO1" s="277"/>
      <c r="CP1" s="163"/>
      <c r="CQ1" s="163"/>
      <c r="CR1" s="163"/>
      <c r="CS1" s="163"/>
      <c r="CT1" s="163"/>
      <c r="CU1" s="163"/>
      <c r="CV1" s="163"/>
      <c r="CW1" s="163"/>
      <c r="CX1" s="163"/>
      <c r="CY1" s="163"/>
      <c r="CZ1" s="163"/>
      <c r="DA1" s="163"/>
      <c r="DB1" s="163"/>
      <c r="DC1" s="163"/>
      <c r="DD1" s="163"/>
      <c r="DE1" s="163"/>
      <c r="DF1" s="163"/>
      <c r="DG1" s="163"/>
      <c r="DH1" s="163"/>
    </row>
    <row r="2" spans="1:118" ht="28.5" customHeight="1" x14ac:dyDescent="0.25">
      <c r="A2" s="217" t="s">
        <v>5</v>
      </c>
      <c r="B2" s="217" t="s">
        <v>6</v>
      </c>
      <c r="C2" s="218" t="s">
        <v>7</v>
      </c>
      <c r="D2" s="217" t="s">
        <v>8</v>
      </c>
      <c r="E2" s="220" t="s">
        <v>9</v>
      </c>
      <c r="F2" s="233" t="s">
        <v>10</v>
      </c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  <c r="Z2" s="281"/>
      <c r="AA2" s="274"/>
      <c r="AB2" s="275"/>
      <c r="AC2" s="274"/>
      <c r="AD2" s="275"/>
      <c r="AE2" s="274"/>
      <c r="AF2" s="275"/>
      <c r="AG2" s="274"/>
      <c r="AH2" s="275"/>
      <c r="AI2" s="274"/>
      <c r="AJ2" s="275"/>
      <c r="AK2" s="274"/>
      <c r="AL2" s="275"/>
      <c r="AM2" s="274"/>
      <c r="AN2" s="275"/>
      <c r="AO2" s="274"/>
      <c r="AP2" s="275"/>
      <c r="AQ2" s="274"/>
      <c r="AR2" s="275"/>
      <c r="AS2" s="274"/>
      <c r="AT2" s="275"/>
      <c r="AU2" s="274"/>
      <c r="AV2" s="275"/>
      <c r="AW2" s="278"/>
      <c r="AX2" s="279"/>
      <c r="AY2" s="274"/>
      <c r="AZ2" s="275"/>
      <c r="BA2" s="166"/>
      <c r="BB2" s="166"/>
      <c r="BC2" s="166"/>
      <c r="BD2" s="166"/>
      <c r="BE2" s="166"/>
      <c r="BF2" s="166"/>
      <c r="BG2" s="167"/>
      <c r="BH2" s="165" t="s">
        <v>13</v>
      </c>
      <c r="BI2" s="166"/>
      <c r="BJ2" s="166"/>
      <c r="BK2" s="166"/>
      <c r="BL2" s="166"/>
      <c r="BM2" s="166"/>
      <c r="BN2" s="166"/>
      <c r="BO2" s="166"/>
      <c r="BP2" s="166"/>
      <c r="BQ2" s="167"/>
      <c r="BR2" s="274"/>
      <c r="BS2" s="275"/>
      <c r="BT2" s="9"/>
      <c r="BU2" s="168" t="s">
        <v>14</v>
      </c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68" t="s">
        <v>14</v>
      </c>
      <c r="CG2" s="10"/>
      <c r="CH2" s="10"/>
      <c r="CI2" s="10"/>
      <c r="CJ2" s="10"/>
      <c r="CK2" s="10"/>
      <c r="CL2" s="10"/>
      <c r="CM2" s="169"/>
      <c r="CN2" s="278"/>
      <c r="CO2" s="279"/>
      <c r="CP2" s="166"/>
      <c r="CQ2" s="166"/>
      <c r="CR2" s="166"/>
      <c r="CS2" s="166"/>
      <c r="CT2" s="166"/>
      <c r="CU2" s="166"/>
      <c r="CV2" s="166"/>
      <c r="CW2" s="166"/>
      <c r="CX2" s="166"/>
      <c r="CY2" s="166" t="s">
        <v>13</v>
      </c>
      <c r="CZ2" s="166"/>
      <c r="DA2" s="166"/>
      <c r="DB2" s="166"/>
      <c r="DC2" s="166"/>
      <c r="DD2" s="166"/>
      <c r="DE2" s="166"/>
      <c r="DF2" s="166"/>
      <c r="DG2" s="166"/>
      <c r="DH2" s="167"/>
      <c r="DJ2" s="190"/>
      <c r="DK2" s="190"/>
      <c r="DL2" s="191"/>
      <c r="DM2" s="191"/>
      <c r="DN2" s="192"/>
    </row>
    <row r="3" spans="1:118" ht="31.5" customHeight="1" x14ac:dyDescent="0.25">
      <c r="A3" s="217"/>
      <c r="B3" s="217"/>
      <c r="C3" s="219"/>
      <c r="D3" s="217"/>
      <c r="E3" s="221"/>
      <c r="F3" s="234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161" t="s">
        <v>35</v>
      </c>
      <c r="AB3" s="161" t="s">
        <v>387</v>
      </c>
      <c r="AC3" s="161" t="s">
        <v>35</v>
      </c>
      <c r="AD3" s="161" t="s">
        <v>387</v>
      </c>
      <c r="AE3" s="161" t="s">
        <v>35</v>
      </c>
      <c r="AF3" s="161" t="s">
        <v>387</v>
      </c>
      <c r="AG3" s="161" t="s">
        <v>35</v>
      </c>
      <c r="AH3" s="161" t="s">
        <v>387</v>
      </c>
      <c r="AI3" s="161" t="s">
        <v>35</v>
      </c>
      <c r="AJ3" s="161" t="s">
        <v>387</v>
      </c>
      <c r="AK3" s="161" t="s">
        <v>35</v>
      </c>
      <c r="AL3" s="161" t="s">
        <v>387</v>
      </c>
      <c r="AM3" s="161" t="s">
        <v>35</v>
      </c>
      <c r="AN3" s="161" t="s">
        <v>387</v>
      </c>
      <c r="AO3" s="161" t="s">
        <v>35</v>
      </c>
      <c r="AP3" s="161" t="s">
        <v>387</v>
      </c>
      <c r="AQ3" s="161" t="s">
        <v>35</v>
      </c>
      <c r="AR3" s="161" t="s">
        <v>387</v>
      </c>
      <c r="AS3" s="161" t="s">
        <v>35</v>
      </c>
      <c r="AT3" s="161" t="s">
        <v>387</v>
      </c>
      <c r="AU3" s="161" t="s">
        <v>35</v>
      </c>
      <c r="AV3" s="161" t="s">
        <v>387</v>
      </c>
      <c r="AW3" s="162" t="s">
        <v>35</v>
      </c>
      <c r="AX3" s="162" t="s">
        <v>387</v>
      </c>
      <c r="AY3" s="161" t="s">
        <v>35</v>
      </c>
      <c r="AZ3" s="161" t="s">
        <v>387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>%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61" t="s">
        <v>35</v>
      </c>
      <c r="BS3" s="161" t="s">
        <v>387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%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2" t="s">
        <v>35</v>
      </c>
      <c r="CO3" s="162" t="s">
        <v>387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%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  <c r="DJ3" s="194"/>
      <c r="DK3" s="194"/>
      <c r="DL3" s="195" t="s">
        <v>406</v>
      </c>
      <c r="DM3" s="195" t="s">
        <v>407</v>
      </c>
      <c r="DN3" s="196" t="s">
        <v>408</v>
      </c>
    </row>
    <row r="4" spans="1:118" ht="0.75" customHeight="1" x14ac:dyDescent="0.25">
      <c r="A4" s="19" t="s">
        <v>39</v>
      </c>
      <c r="B4" s="222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7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  <c r="DJ4" s="194"/>
      <c r="DK4" s="194"/>
      <c r="DL4" s="194"/>
      <c r="DM4" s="194"/>
      <c r="DN4" s="194"/>
    </row>
    <row r="5" spans="1:118" ht="51.75" hidden="1" customHeight="1" x14ac:dyDescent="0.25">
      <c r="A5" s="30"/>
      <c r="B5" s="235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0.99108770053475936</v>
      </c>
      <c r="AB5" s="24">
        <f t="shared" si="2"/>
        <v>74133360</v>
      </c>
      <c r="AC5" s="24"/>
      <c r="AD5" s="24"/>
      <c r="AE5" s="24"/>
      <c r="AF5" s="24"/>
      <c r="AG5" s="24">
        <f>+'[2]DICIEMBRE 2016'!$O$3471</f>
        <v>53333360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+'[2]DICIEMBRE 2016'!$AG$3471</f>
        <v>20800000</v>
      </c>
      <c r="AW5" s="25">
        <f t="shared" si="3"/>
        <v>8.9122994652406362E-3</v>
      </c>
      <c r="AX5" s="24">
        <f t="shared" si="4"/>
        <v>666640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666640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0</v>
      </c>
      <c r="BR5" s="25">
        <f t="shared" si="10"/>
        <v>0.99108770053475936</v>
      </c>
      <c r="BS5" s="24">
        <f t="shared" si="11"/>
        <v>74133360</v>
      </c>
      <c r="BT5" s="24"/>
      <c r="BU5" s="24"/>
      <c r="BV5" s="24"/>
      <c r="BW5" s="24"/>
      <c r="BX5" s="24">
        <f>+'[2]DICIEMBRE 2016'!$O$3471</f>
        <v>53333360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+'[2]DICIEMBRE 2016'!$AG$3471</f>
        <v>20800000</v>
      </c>
      <c r="CN5" s="25">
        <f t="shared" si="12"/>
        <v>8.9122994652406362E-3</v>
      </c>
      <c r="CO5" s="24">
        <f t="shared" si="13"/>
        <v>666640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666640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0</v>
      </c>
      <c r="DJ5" s="194"/>
      <c r="DK5" s="194"/>
      <c r="DL5" s="194"/>
      <c r="DM5" s="194"/>
      <c r="DN5" s="194"/>
    </row>
    <row r="6" spans="1:118" ht="32.25" hidden="1" customHeight="1" x14ac:dyDescent="0.25">
      <c r="A6" s="30"/>
      <c r="B6" s="223"/>
      <c r="C6" s="20" t="s">
        <v>47</v>
      </c>
      <c r="D6" s="21" t="s">
        <v>48</v>
      </c>
      <c r="E6" s="64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0.99997404761904762</v>
      </c>
      <c r="AB6" s="24">
        <f t="shared" si="2"/>
        <v>20999455</v>
      </c>
      <c r="AC6" s="24"/>
      <c r="AD6" s="24"/>
      <c r="AE6" s="24"/>
      <c r="AF6" s="24"/>
      <c r="AG6" s="24">
        <f>+'[2]DICIEMBRE 2016'!$O$3516</f>
        <v>20999455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2.5952380952376508E-5</v>
      </c>
      <c r="AX6" s="24">
        <f t="shared" si="4"/>
        <v>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0.99997404761904762</v>
      </c>
      <c r="BS6" s="24">
        <f t="shared" si="11"/>
        <v>20999455</v>
      </c>
      <c r="BT6" s="24"/>
      <c r="BU6" s="24"/>
      <c r="BV6" s="24"/>
      <c r="BW6" s="24"/>
      <c r="BX6" s="24">
        <f>+'[2]DICIEMBRE 2016'!$H$3514</f>
        <v>20999455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2.5952380952376508E-5</v>
      </c>
      <c r="CO6" s="24">
        <f t="shared" si="13"/>
        <v>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  <c r="DJ6" s="194"/>
      <c r="DK6" s="194"/>
      <c r="DL6" s="194"/>
      <c r="DM6" s="194"/>
      <c r="DN6" s="194"/>
    </row>
    <row r="7" spans="1:118" ht="54" hidden="1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0.63407462077884125</v>
      </c>
      <c r="AB7" s="24">
        <f t="shared" si="2"/>
        <v>15773440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+'[2]DICIEMBRE 2016'!$AG$3531</f>
        <v>15773440</v>
      </c>
      <c r="AW7" s="25">
        <f t="shared" si="3"/>
        <v>0.36592537922115875</v>
      </c>
      <c r="AX7" s="24">
        <f t="shared" si="4"/>
        <v>9102875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9102875</v>
      </c>
      <c r="BR7" s="25">
        <f t="shared" si="10"/>
        <v>0.63407462077884125</v>
      </c>
      <c r="BS7" s="24">
        <f t="shared" si="11"/>
        <v>15773440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+'[2]DICIEMBRE 2016'!$H$3529</f>
        <v>15773440</v>
      </c>
      <c r="CN7" s="25">
        <f t="shared" si="12"/>
        <v>0.36592537922115875</v>
      </c>
      <c r="CO7" s="24">
        <f t="shared" si="13"/>
        <v>9102875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9102875</v>
      </c>
      <c r="DJ7" s="194"/>
      <c r="DK7" s="194"/>
      <c r="DL7" s="194"/>
      <c r="DM7" s="194"/>
      <c r="DN7" s="194"/>
    </row>
    <row r="8" spans="1:118" ht="45" hidden="1" x14ac:dyDescent="0.25">
      <c r="A8" s="30"/>
      <c r="B8" s="222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0.66954429000000004</v>
      </c>
      <c r="AB8" s="24">
        <f t="shared" si="2"/>
        <v>133908858</v>
      </c>
      <c r="AC8" s="24"/>
      <c r="AD8" s="24"/>
      <c r="AE8" s="24">
        <f>+'[3]ENERO 2016'!$M$109</f>
        <v>6621400</v>
      </c>
      <c r="AF8" s="24"/>
      <c r="AG8" s="24">
        <f>+'[4]DICIEMBRE 2016'!$O$478</f>
        <v>127287458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0.33045570999999996</v>
      </c>
      <c r="AX8" s="24">
        <f t="shared" si="4"/>
        <v>66091142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66091142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0.66954429000000004</v>
      </c>
      <c r="BS8" s="24">
        <f t="shared" si="11"/>
        <v>133908858</v>
      </c>
      <c r="BT8" s="24"/>
      <c r="BU8" s="24"/>
      <c r="BV8" s="24">
        <f>+'[3]ENERO 2016'!$H$107</f>
        <v>6621400</v>
      </c>
      <c r="BW8" s="24"/>
      <c r="BX8" s="24">
        <f>+'[4]DICIEMBRE 2016'!$O$478</f>
        <v>127287458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0.33045570999999996</v>
      </c>
      <c r="CO8" s="24">
        <f t="shared" si="13"/>
        <v>66091142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66091142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  <c r="DJ8" s="194"/>
      <c r="DK8" s="194"/>
      <c r="DL8" s="194"/>
      <c r="DM8" s="194"/>
      <c r="DN8" s="194"/>
    </row>
    <row r="9" spans="1:118" ht="64.5" hidden="1" customHeight="1" x14ac:dyDescent="0.25">
      <c r="A9" s="30"/>
      <c r="B9" s="235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0.64845522626112762</v>
      </c>
      <c r="AB9" s="24">
        <f t="shared" si="2"/>
        <v>349647058</v>
      </c>
      <c r="AC9" s="24"/>
      <c r="AD9" s="24"/>
      <c r="AE9" s="24">
        <f>+'[4]DICIEMBRE 2016'!$M$513</f>
        <v>207088469</v>
      </c>
      <c r="AF9" s="24"/>
      <c r="AG9" s="24">
        <f>+'[2]DICIEMBRE 2016'!$O$508</f>
        <v>94797911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+'[2]DICIEMBRE 2016'!$AG$508</f>
        <v>47760678</v>
      </c>
      <c r="AW9" s="25">
        <f t="shared" si="3"/>
        <v>0.35154477373887238</v>
      </c>
      <c r="AX9" s="24">
        <f t="shared" si="4"/>
        <v>189552942</v>
      </c>
      <c r="AY9" s="24">
        <f t="shared" si="5"/>
        <v>0</v>
      </c>
      <c r="AZ9" s="24">
        <f t="shared" si="6"/>
        <v>186290131</v>
      </c>
      <c r="BA9" s="24">
        <f t="shared" si="6"/>
        <v>0</v>
      </c>
      <c r="BB9" s="24">
        <f t="shared" si="7"/>
        <v>1023489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2239322</v>
      </c>
      <c r="BR9" s="25">
        <f t="shared" si="10"/>
        <v>0.64845522626112762</v>
      </c>
      <c r="BS9" s="24">
        <f t="shared" si="11"/>
        <v>349647058</v>
      </c>
      <c r="BT9" s="24"/>
      <c r="BU9" s="24"/>
      <c r="BV9" s="24">
        <f>+'[4]DICIEMBRE 2016'!$M$513</f>
        <v>207088469</v>
      </c>
      <c r="BW9" s="24"/>
      <c r="BX9" s="24">
        <f>+'[2]DICIEMBRE 2016'!$O$508</f>
        <v>94797911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+'[2]DICIEMBRE 2016'!$H$577+'[2]DICIEMBRE 2016'!$H$603+'[2]DICIEMBRE 2016'!$H$607+'[2]DICIEMBRE 2016'!$H$610+'[2]DICIEMBRE 2016'!$H$618+'[2]DICIEMBRE 2016'!$H$626+'[2]DICIEMBRE 2016'!$H$628+'[2]DICIEMBRE 2016'!$H$635+'[2]DICIEMBRE 2016'!$H$636+'[2]DICIEMBRE 2016'!$H$641+'[2]DICIEMBRE 2016'!$H$659+'[2]DICIEMBRE 2016'!$H$661+'[2]DICIEMBRE 2016'!$H$662+'[2]DICIEMBRE 2016'!$H$675+'[2]DICIEMBRE 2016'!$H$690+'[2]DICIEMBRE 2016'!$H$693+'[2]DICIEMBRE 2016'!$H$699+'[2]DICIEMBRE 2016'!$H$701+'[2]DICIEMBRE 2016'!$H$707+'[2]DICIEMBRE 2016'!$H$708+'[2]DICIEMBRE 2016'!$H$716+'[2]DICIEMBRE 2016'!$H$717+'[2]DICIEMBRE 2016'!$H$720+'[2]DICIEMBRE 2016'!$H$733+'[2]DICIEMBRE 2016'!$H$735+'[2]DICIEMBRE 2016'!$H$736+'[2]DICIEMBRE 2016'!$H$739+'[2]DICIEMBRE 2016'!$H$746+'[2]DICIEMBRE 2016'!$H$762+'[2]DICIEMBRE 2016'!$H$778+'[2]DICIEMBRE 2016'!$H$790+'[2]DICIEMBRE 2016'!$H$791+'[2]DICIEMBRE 2016'!$H$792+'[2]DICIEMBRE 2016'!$H$796+'[2]DICIEMBRE 2016'!$H$811+'[2]DICIEMBRE 2016'!$H$820+'[2]DICIEMBRE 2016'!$H$824+'[2]DICIEMBRE 2016'!$H$846+'[2]DICIEMBRE 2016'!$H$847+'[2]DICIEMBRE 2016'!$H$848+'[2]DICIEMBRE 2016'!$H$870+'[2]DICIEMBRE 2016'!$H$874</f>
        <v>47760678</v>
      </c>
      <c r="CN9" s="25">
        <f t="shared" si="12"/>
        <v>0.35154477373887238</v>
      </c>
      <c r="CO9" s="24">
        <f t="shared" si="13"/>
        <v>189552942</v>
      </c>
      <c r="CP9" s="24">
        <f t="shared" si="14"/>
        <v>0</v>
      </c>
      <c r="CQ9" s="24">
        <f t="shared" si="14"/>
        <v>186290131</v>
      </c>
      <c r="CR9" s="24">
        <f t="shared" si="14"/>
        <v>0</v>
      </c>
      <c r="CS9" s="24">
        <f t="shared" si="14"/>
        <v>1023489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2239322</v>
      </c>
      <c r="DJ9" s="194"/>
      <c r="DK9" s="194"/>
      <c r="DL9" s="194"/>
      <c r="DM9" s="194"/>
      <c r="DN9" s="194"/>
    </row>
    <row r="10" spans="1:118" ht="19.5" hidden="1" customHeight="1" x14ac:dyDescent="0.25">
      <c r="A10" s="30"/>
      <c r="B10" s="235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0.9286861111111111</v>
      </c>
      <c r="AB10" s="24">
        <f t="shared" si="2"/>
        <v>33432700</v>
      </c>
      <c r="AC10" s="24"/>
      <c r="AD10" s="24"/>
      <c r="AE10" s="24"/>
      <c r="AF10" s="24"/>
      <c r="AG10" s="24">
        <f>+'[2]DICIEMBRE 2016'!$O$879</f>
        <v>33432700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7.1313888888888899E-2</v>
      </c>
      <c r="AX10" s="24">
        <f t="shared" si="4"/>
        <v>2567300</v>
      </c>
      <c r="AY10" s="24">
        <f t="shared" ref="AY10:AY16" si="19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2567300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0.9286861111111111</v>
      </c>
      <c r="BS10" s="24">
        <f t="shared" si="11"/>
        <v>33432700</v>
      </c>
      <c r="BT10" s="24"/>
      <c r="BU10" s="24"/>
      <c r="BV10" s="24"/>
      <c r="BW10" s="24"/>
      <c r="BX10" s="24">
        <f>+'[5]NOVIEMBRE 2016'!$H$825</f>
        <v>33432700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7.1313888888888899E-2</v>
      </c>
      <c r="CO10" s="24">
        <f t="shared" si="13"/>
        <v>2567300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2567300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  <c r="DJ10" s="194"/>
      <c r="DK10" s="194"/>
      <c r="DL10" s="194"/>
      <c r="DM10" s="194"/>
      <c r="DN10" s="194"/>
    </row>
    <row r="11" spans="1:118" ht="33.75" hidden="1" customHeight="1" x14ac:dyDescent="0.25">
      <c r="A11" s="30"/>
      <c r="B11" s="235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0.53519015999999997</v>
      </c>
      <c r="AB11" s="24">
        <f t="shared" si="2"/>
        <v>26759508</v>
      </c>
      <c r="AC11" s="24"/>
      <c r="AD11" s="24"/>
      <c r="AE11" s="24">
        <f>+'[4]DICIEMBRE 2016'!$M$903</f>
        <v>26759508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0.46480984000000003</v>
      </c>
      <c r="AX11" s="24">
        <f t="shared" si="4"/>
        <v>23240492</v>
      </c>
      <c r="AY11" s="24">
        <f t="shared" si="19"/>
        <v>0</v>
      </c>
      <c r="AZ11" s="24">
        <f t="shared" si="6"/>
        <v>23240492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0.53519015999999997</v>
      </c>
      <c r="BS11" s="24">
        <f t="shared" si="11"/>
        <v>26759508</v>
      </c>
      <c r="BT11" s="24"/>
      <c r="BU11" s="24"/>
      <c r="BV11" s="24">
        <f>+'[4]DICIEMBRE 2016'!$M$903</f>
        <v>26759508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0.46480984000000003</v>
      </c>
      <c r="CO11" s="24">
        <f t="shared" si="13"/>
        <v>23240492</v>
      </c>
      <c r="CP11" s="24">
        <f t="shared" si="14"/>
        <v>0</v>
      </c>
      <c r="CQ11" s="24">
        <f t="shared" si="14"/>
        <v>23240492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  <c r="DJ11" s="194"/>
      <c r="DK11" s="194"/>
      <c r="DL11" s="194"/>
      <c r="DM11" s="194"/>
      <c r="DN11" s="194"/>
    </row>
    <row r="12" spans="1:118" ht="21" hidden="1" customHeight="1" x14ac:dyDescent="0.25">
      <c r="A12" s="30"/>
      <c r="B12" s="223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0.78</v>
      </c>
      <c r="AB12" s="24">
        <f t="shared" si="2"/>
        <v>7800000</v>
      </c>
      <c r="AC12" s="24"/>
      <c r="AD12" s="24"/>
      <c r="AE12" s="24"/>
      <c r="AF12" s="24"/>
      <c r="AG12" s="24">
        <f>+'[2]DICIEMBRE 2016'!$O$922</f>
        <v>7800000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0.21999999999999997</v>
      </c>
      <c r="AX12" s="24">
        <f t="shared" si="4"/>
        <v>2200000</v>
      </c>
      <c r="AY12" s="24">
        <f t="shared" si="19"/>
        <v>0</v>
      </c>
      <c r="AZ12" s="24">
        <f t="shared" si="6"/>
        <v>0</v>
      </c>
      <c r="BA12" s="24">
        <f t="shared" si="6"/>
        <v>0</v>
      </c>
      <c r="BB12" s="24">
        <f t="shared" si="7"/>
        <v>2200000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  <c r="DJ12" s="194"/>
      <c r="DK12" s="194"/>
      <c r="DL12" s="194"/>
      <c r="DM12" s="194"/>
      <c r="DN12" s="194"/>
    </row>
    <row r="13" spans="1:118" ht="76.5" hidden="1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0.86551666535115324</v>
      </c>
      <c r="AB13" s="24">
        <f t="shared" si="2"/>
        <v>244772148</v>
      </c>
      <c r="AC13" s="24"/>
      <c r="AD13" s="24"/>
      <c r="AE13" s="24"/>
      <c r="AF13" s="24"/>
      <c r="AG13" s="24">
        <f>+'[4]DICIEMBRE 2016'!$O$3556</f>
        <v>147340801</v>
      </c>
      <c r="AH13" s="24">
        <f>+'[5]NOVIEMBRE 2016'!$P$3385</f>
        <v>14004396</v>
      </c>
      <c r="AI13" s="24"/>
      <c r="AJ13" s="24"/>
      <c r="AK13" s="24"/>
      <c r="AL13" s="24"/>
      <c r="AM13" s="24"/>
      <c r="AN13" s="24"/>
      <c r="AO13" s="24"/>
      <c r="AP13" s="24">
        <f>+'[6]FEBRERO 2016'!$X$699</f>
        <v>1796640</v>
      </c>
      <c r="AQ13" s="24"/>
      <c r="AR13" s="24"/>
      <c r="AS13" s="24"/>
      <c r="AT13" s="24"/>
      <c r="AU13" s="24"/>
      <c r="AV13" s="24">
        <f>+'[4]DICIEMBRE 2016'!$AG$3556</f>
        <v>81630311</v>
      </c>
      <c r="AW13" s="25">
        <f t="shared" si="3"/>
        <v>0.13448333464884676</v>
      </c>
      <c r="AX13" s="24">
        <f t="shared" si="4"/>
        <v>38032514</v>
      </c>
      <c r="AY13" s="24">
        <f t="shared" si="19"/>
        <v>0</v>
      </c>
      <c r="AZ13" s="24">
        <f t="shared" si="6"/>
        <v>0</v>
      </c>
      <c r="BA13" s="24">
        <f t="shared" si="6"/>
        <v>0</v>
      </c>
      <c r="BB13" s="24">
        <f t="shared" si="7"/>
        <v>12659199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25373315</v>
      </c>
      <c r="BR13" s="25">
        <f t="shared" si="10"/>
        <v>0.86551666535115324</v>
      </c>
      <c r="BS13" s="24">
        <f t="shared" si="11"/>
        <v>244772148</v>
      </c>
      <c r="BT13" s="24"/>
      <c r="BU13" s="24"/>
      <c r="BV13" s="24"/>
      <c r="BW13" s="24"/>
      <c r="BX13" s="24">
        <f>+'[4]DICIEMBRE 2016'!$O$3556</f>
        <v>147340801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+'[4]DICIEMBRE 2016'!$AG$3556</f>
        <v>81630311</v>
      </c>
      <c r="CN13" s="25">
        <f t="shared" si="12"/>
        <v>0.13448333464884676</v>
      </c>
      <c r="CO13" s="24">
        <f t="shared" si="13"/>
        <v>38032514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12659199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>+Y13-CL13</f>
        <v>0</v>
      </c>
      <c r="DH13" s="24">
        <f t="shared" si="18"/>
        <v>25373315</v>
      </c>
      <c r="DJ13" s="194"/>
      <c r="DK13" s="194"/>
      <c r="DL13" s="194"/>
      <c r="DM13" s="194"/>
      <c r="DN13" s="194"/>
    </row>
    <row r="14" spans="1:118" ht="45" hidden="1" customHeight="1" x14ac:dyDescent="0.25">
      <c r="A14" s="30"/>
      <c r="B14" s="222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105000000</v>
      </c>
      <c r="H14" s="24"/>
      <c r="I14" s="24"/>
      <c r="J14" s="24"/>
      <c r="K14" s="24">
        <f>65000000+40000000</f>
        <v>105000000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0.93779581904761899</v>
      </c>
      <c r="AB14" s="24">
        <f t="shared" si="2"/>
        <v>98468561</v>
      </c>
      <c r="AC14" s="24"/>
      <c r="AD14" s="24"/>
      <c r="AE14" s="24"/>
      <c r="AF14" s="24"/>
      <c r="AG14" s="24">
        <f>+'[2]DICIEMBRE 2016'!$O$3651</f>
        <v>98468561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6.2204180952381005E-2</v>
      </c>
      <c r="AX14" s="24">
        <f t="shared" si="4"/>
        <v>6531439</v>
      </c>
      <c r="AY14" s="24">
        <f t="shared" si="19"/>
        <v>0</v>
      </c>
      <c r="AZ14" s="24">
        <f t="shared" si="6"/>
        <v>0</v>
      </c>
      <c r="BA14" s="24">
        <f t="shared" si="6"/>
        <v>0</v>
      </c>
      <c r="BB14" s="24">
        <f t="shared" si="7"/>
        <v>6531439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0.93779581904761899</v>
      </c>
      <c r="BS14" s="24">
        <f t="shared" si="11"/>
        <v>98468561</v>
      </c>
      <c r="BT14" s="24"/>
      <c r="BU14" s="24"/>
      <c r="BV14" s="24"/>
      <c r="BW14" s="24"/>
      <c r="BX14" s="24">
        <f>+'[2]DICIEMBRE 2016'!$H$3649</f>
        <v>98468561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6.2204180952381005E-2</v>
      </c>
      <c r="CO14" s="24">
        <f t="shared" si="13"/>
        <v>6531439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6531439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  <c r="DJ14" s="194"/>
      <c r="DK14" s="194"/>
      <c r="DL14" s="194"/>
      <c r="DM14" s="194"/>
      <c r="DN14" s="194"/>
    </row>
    <row r="15" spans="1:118" ht="45" hidden="1" x14ac:dyDescent="0.25">
      <c r="A15" s="30"/>
      <c r="B15" s="235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0.91025718749999995</v>
      </c>
      <c r="AB15" s="24">
        <f t="shared" si="2"/>
        <v>29128230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+'[2]DICIEMBRE 2016'!$W$3704</f>
        <v>27578230</v>
      </c>
      <c r="AP15" s="24"/>
      <c r="AQ15" s="24"/>
      <c r="AR15" s="24"/>
      <c r="AS15" s="24"/>
      <c r="AT15" s="24"/>
      <c r="AU15" s="24"/>
      <c r="AV15" s="24"/>
      <c r="AW15" s="25">
        <f t="shared" si="3"/>
        <v>8.9742812500000047E-2</v>
      </c>
      <c r="AX15" s="24">
        <f t="shared" si="4"/>
        <v>2871770</v>
      </c>
      <c r="AY15" s="24">
        <f t="shared" si="19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2853216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0.91025718749999995</v>
      </c>
      <c r="BS15" s="24">
        <f t="shared" si="11"/>
        <v>29128230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+'[2]DICIEMBRE 2016'!$W$3704</f>
        <v>27578230</v>
      </c>
      <c r="CG15" s="24"/>
      <c r="CH15" s="24"/>
      <c r="CI15" s="24"/>
      <c r="CJ15" s="24"/>
      <c r="CK15" s="24"/>
      <c r="CL15" s="24"/>
      <c r="CM15" s="24"/>
      <c r="CN15" s="25">
        <f t="shared" si="12"/>
        <v>8.9742812500000047E-2</v>
      </c>
      <c r="CO15" s="24">
        <f t="shared" si="13"/>
        <v>2871770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2853216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  <c r="DJ15" s="194"/>
      <c r="DK15" s="194"/>
      <c r="DL15" s="194"/>
      <c r="DM15" s="194"/>
      <c r="DN15" s="194"/>
    </row>
    <row r="16" spans="1:118" ht="20.25" hidden="1" customHeight="1" x14ac:dyDescent="0.25">
      <c r="A16" s="30"/>
      <c r="B16" s="223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19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  <c r="DJ16" s="194"/>
      <c r="DK16" s="194"/>
      <c r="DL16" s="194"/>
      <c r="DM16" s="194"/>
      <c r="DN16" s="194"/>
    </row>
    <row r="17" spans="1:118" ht="26.25" hidden="1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0.42875912337662336</v>
      </c>
      <c r="AB17" s="24">
        <f t="shared" si="2"/>
        <v>13205781</v>
      </c>
      <c r="AC17" s="24"/>
      <c r="AD17" s="24"/>
      <c r="AE17" s="24"/>
      <c r="AF17" s="24"/>
      <c r="AG17" s="24">
        <f>+'[4]DICIEMBRE 2016'!$O$3734</f>
        <v>13205781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0.57124087662337664</v>
      </c>
      <c r="AX17" s="24">
        <f t="shared" si="4"/>
        <v>17594219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17594219</v>
      </c>
      <c r="BC17" s="24">
        <f t="shared" ref="BC17:BM17" si="20">+L17</f>
        <v>0</v>
      </c>
      <c r="BD17" s="24">
        <f t="shared" si="20"/>
        <v>0</v>
      </c>
      <c r="BE17" s="24">
        <f t="shared" si="20"/>
        <v>0</v>
      </c>
      <c r="BF17" s="24">
        <f t="shared" si="20"/>
        <v>0</v>
      </c>
      <c r="BG17" s="24">
        <f t="shared" si="20"/>
        <v>0</v>
      </c>
      <c r="BH17" s="24">
        <f t="shared" si="20"/>
        <v>0</v>
      </c>
      <c r="BI17" s="24">
        <f t="shared" si="20"/>
        <v>0</v>
      </c>
      <c r="BJ17" s="24">
        <f t="shared" si="20"/>
        <v>0</v>
      </c>
      <c r="BK17" s="24">
        <f t="shared" si="20"/>
        <v>0</v>
      </c>
      <c r="BL17" s="24">
        <f t="shared" si="20"/>
        <v>0</v>
      </c>
      <c r="BM17" s="24">
        <f t="shared" si="20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0.42875912337662336</v>
      </c>
      <c r="BS17" s="24">
        <f t="shared" si="11"/>
        <v>13205781</v>
      </c>
      <c r="BT17" s="24"/>
      <c r="BU17" s="24"/>
      <c r="BV17" s="24"/>
      <c r="BW17" s="24"/>
      <c r="BX17" s="24">
        <f>+'[4]DICIEMBRE 2016'!$H$3732</f>
        <v>13205781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0.57124087662337664</v>
      </c>
      <c r="CO17" s="24">
        <f t="shared" si="13"/>
        <v>17594219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17594219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  <c r="DJ17" s="194"/>
      <c r="DK17" s="194"/>
      <c r="DL17" s="194"/>
      <c r="DM17" s="194"/>
      <c r="DN17" s="194"/>
    </row>
    <row r="18" spans="1:118" ht="30" hidden="1" x14ac:dyDescent="0.25">
      <c r="A18" s="30"/>
      <c r="B18" s="222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1">H18-AD18</f>
        <v>0</v>
      </c>
      <c r="AZ18" s="24">
        <f t="shared" si="21"/>
        <v>0</v>
      </c>
      <c r="BA18" s="24">
        <f t="shared" si="21"/>
        <v>0</v>
      </c>
      <c r="BB18" s="24">
        <f>+K18-AG18</f>
        <v>0</v>
      </c>
      <c r="BC18" s="24">
        <f t="shared" ref="BC18:BM19" si="22">+L18-AH18</f>
        <v>0</v>
      </c>
      <c r="BD18" s="24">
        <f t="shared" si="22"/>
        <v>0</v>
      </c>
      <c r="BE18" s="24">
        <f t="shared" si="22"/>
        <v>0</v>
      </c>
      <c r="BF18" s="24">
        <f t="shared" si="22"/>
        <v>0</v>
      </c>
      <c r="BG18" s="24">
        <f t="shared" si="22"/>
        <v>0</v>
      </c>
      <c r="BH18" s="24">
        <f t="shared" si="22"/>
        <v>0</v>
      </c>
      <c r="BI18" s="24">
        <f t="shared" si="22"/>
        <v>0</v>
      </c>
      <c r="BJ18" s="24">
        <f t="shared" si="22"/>
        <v>0</v>
      </c>
      <c r="BK18" s="24">
        <f t="shared" si="22"/>
        <v>0</v>
      </c>
      <c r="BL18" s="24">
        <f t="shared" si="22"/>
        <v>0</v>
      </c>
      <c r="BM18" s="24">
        <f t="shared" si="22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3">+N18-CA18</f>
        <v>0</v>
      </c>
      <c r="CW18" s="24">
        <f t="shared" si="23"/>
        <v>0</v>
      </c>
      <c r="CX18" s="24">
        <f t="shared" si="23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4">+T18-CG18</f>
        <v>0</v>
      </c>
      <c r="DC18" s="24">
        <f t="shared" si="24"/>
        <v>0</v>
      </c>
      <c r="DD18" s="24">
        <f t="shared" si="24"/>
        <v>0</v>
      </c>
      <c r="DE18" s="24"/>
      <c r="DF18" s="24">
        <f t="shared" ref="DF18:DH19" si="25">+X18-CK18</f>
        <v>0</v>
      </c>
      <c r="DG18" s="24">
        <f t="shared" si="25"/>
        <v>0</v>
      </c>
      <c r="DH18" s="24">
        <f t="shared" si="25"/>
        <v>0</v>
      </c>
      <c r="DJ18" s="194"/>
      <c r="DK18" s="194"/>
      <c r="DL18" s="194"/>
      <c r="DM18" s="194"/>
      <c r="DN18" s="194"/>
    </row>
    <row r="19" spans="1:118" ht="28.5" hidden="1" customHeight="1" x14ac:dyDescent="0.25">
      <c r="A19" s="35"/>
      <c r="B19" s="223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0.91308678307795221</v>
      </c>
      <c r="AB19" s="24">
        <f t="shared" si="2"/>
        <v>68429429</v>
      </c>
      <c r="AC19" s="24"/>
      <c r="AD19" s="24"/>
      <c r="AE19" s="24"/>
      <c r="AF19" s="24"/>
      <c r="AG19" s="24">
        <f>+'[5]NOVIEMBRE 2016'!$O$3605</f>
        <v>45175470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+'[4]DICIEMBRE 2016'!$AG$3787</f>
        <v>23253959</v>
      </c>
      <c r="AW19" s="25">
        <f t="shared" si="3"/>
        <v>8.6913216922047787E-2</v>
      </c>
      <c r="AX19" s="24">
        <f t="shared" si="4"/>
        <v>6513534</v>
      </c>
      <c r="AY19" s="24">
        <f t="shared" si="21"/>
        <v>0</v>
      </c>
      <c r="AZ19" s="24">
        <f t="shared" si="21"/>
        <v>0</v>
      </c>
      <c r="BA19" s="24">
        <f t="shared" si="21"/>
        <v>0</v>
      </c>
      <c r="BB19" s="24">
        <f>+K19-AG19</f>
        <v>2767493</v>
      </c>
      <c r="BC19" s="24">
        <f t="shared" si="22"/>
        <v>0</v>
      </c>
      <c r="BD19" s="24">
        <f t="shared" si="22"/>
        <v>0</v>
      </c>
      <c r="BE19" s="24">
        <f t="shared" si="22"/>
        <v>0</v>
      </c>
      <c r="BF19" s="24">
        <f t="shared" si="22"/>
        <v>0</v>
      </c>
      <c r="BG19" s="24">
        <f t="shared" si="22"/>
        <v>0</v>
      </c>
      <c r="BH19" s="24">
        <f t="shared" si="22"/>
        <v>0</v>
      </c>
      <c r="BI19" s="24">
        <f t="shared" si="22"/>
        <v>0</v>
      </c>
      <c r="BJ19" s="24">
        <f t="shared" si="22"/>
        <v>0</v>
      </c>
      <c r="BK19" s="24">
        <f t="shared" si="22"/>
        <v>0</v>
      </c>
      <c r="BL19" s="24">
        <f t="shared" si="22"/>
        <v>0</v>
      </c>
      <c r="BM19" s="24">
        <f t="shared" si="22"/>
        <v>0</v>
      </c>
      <c r="BN19" s="24"/>
      <c r="BO19" s="24"/>
      <c r="BP19" s="24">
        <f>Y19-AU19</f>
        <v>0</v>
      </c>
      <c r="BQ19" s="24">
        <f>+Z19-AV19</f>
        <v>3746041</v>
      </c>
      <c r="BR19" s="25">
        <f t="shared" si="10"/>
        <v>0.91308678307795221</v>
      </c>
      <c r="BS19" s="24">
        <f t="shared" si="11"/>
        <v>68429429</v>
      </c>
      <c r="BT19" s="24"/>
      <c r="BU19" s="24"/>
      <c r="BV19" s="24"/>
      <c r="BW19" s="24"/>
      <c r="BX19" s="24">
        <f>+'[2]DICIEMBRE 2016'!$O$3786</f>
        <v>45175470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+'[4]DICIEMBRE 2016'!$AG$3787</f>
        <v>23253959</v>
      </c>
      <c r="CN19" s="25">
        <f t="shared" si="12"/>
        <v>8.6913216922047787E-2</v>
      </c>
      <c r="CO19" s="24">
        <f t="shared" si="13"/>
        <v>6513534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2767493</v>
      </c>
      <c r="CT19" s="24">
        <f t="shared" si="14"/>
        <v>0</v>
      </c>
      <c r="CU19" s="24">
        <f t="shared" si="14"/>
        <v>0</v>
      </c>
      <c r="CV19" s="24">
        <f t="shared" si="23"/>
        <v>0</v>
      </c>
      <c r="CW19" s="24">
        <f t="shared" si="23"/>
        <v>0</v>
      </c>
      <c r="CX19" s="24">
        <f t="shared" si="23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4"/>
        <v>0</v>
      </c>
      <c r="DC19" s="24">
        <f t="shared" si="24"/>
        <v>0</v>
      </c>
      <c r="DD19" s="24">
        <f t="shared" si="24"/>
        <v>0</v>
      </c>
      <c r="DE19" s="24"/>
      <c r="DF19" s="24">
        <f t="shared" si="25"/>
        <v>0</v>
      </c>
      <c r="DG19" s="24">
        <f t="shared" si="25"/>
        <v>0</v>
      </c>
      <c r="DH19" s="24">
        <f t="shared" si="25"/>
        <v>3746041</v>
      </c>
      <c r="DJ19" s="197" t="s">
        <v>409</v>
      </c>
      <c r="DK19" s="197"/>
      <c r="DL19" s="198">
        <v>1515480977</v>
      </c>
      <c r="DM19" s="199">
        <v>1105051650</v>
      </c>
      <c r="DN19" s="200">
        <v>0.7291755335573572</v>
      </c>
    </row>
    <row r="20" spans="1:118" s="43" customFormat="1" ht="17.25" customHeight="1" thickBot="1" x14ac:dyDescent="0.3">
      <c r="A20" s="36"/>
      <c r="B20" s="295" t="s">
        <v>391</v>
      </c>
      <c r="C20" s="296"/>
      <c r="D20" s="296"/>
      <c r="E20" s="300"/>
      <c r="F20" s="37"/>
      <c r="G20" s="38">
        <f t="shared" ref="G20:V20" si="26">SUM(G4:G19)</f>
        <v>1515480977</v>
      </c>
      <c r="H20" s="38">
        <f t="shared" si="26"/>
        <v>0</v>
      </c>
      <c r="I20" s="38">
        <f t="shared" si="26"/>
        <v>450000000</v>
      </c>
      <c r="J20" s="38">
        <f t="shared" si="26"/>
        <v>0</v>
      </c>
      <c r="K20" s="38">
        <f t="shared" si="26"/>
        <v>789568554</v>
      </c>
      <c r="L20" s="38">
        <f t="shared" si="26"/>
        <v>14004396</v>
      </c>
      <c r="M20" s="38">
        <f t="shared" si="26"/>
        <v>0</v>
      </c>
      <c r="N20" s="38">
        <f t="shared" si="26"/>
        <v>0</v>
      </c>
      <c r="O20" s="38">
        <f t="shared" si="26"/>
        <v>0</v>
      </c>
      <c r="P20" s="38">
        <f t="shared" si="26"/>
        <v>0</v>
      </c>
      <c r="Q20" s="38">
        <f t="shared" si="26"/>
        <v>0</v>
      </c>
      <c r="R20" s="38">
        <f t="shared" si="26"/>
        <v>0</v>
      </c>
      <c r="S20" s="38">
        <f t="shared" si="26"/>
        <v>30431446</v>
      </c>
      <c r="T20" s="38">
        <f t="shared" si="26"/>
        <v>1796640</v>
      </c>
      <c r="U20" s="38">
        <f t="shared" si="26"/>
        <v>0</v>
      </c>
      <c r="V20" s="38">
        <f t="shared" si="26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229679941</v>
      </c>
      <c r="AA20" s="159">
        <f t="shared" si="1"/>
        <v>0.75917519418655166</v>
      </c>
      <c r="AB20" s="40">
        <f>SUM(AB4:AB19)</f>
        <v>1150515565</v>
      </c>
      <c r="AC20" s="40"/>
      <c r="AD20" s="40">
        <f t="shared" ref="AD20:AV20" si="27">SUM(AD4:AD19)</f>
        <v>0</v>
      </c>
      <c r="AE20" s="40">
        <f t="shared" si="27"/>
        <v>240469377</v>
      </c>
      <c r="AF20" s="40">
        <f t="shared" si="27"/>
        <v>0</v>
      </c>
      <c r="AG20" s="40">
        <f t="shared" si="27"/>
        <v>677448534</v>
      </c>
      <c r="AH20" s="40">
        <f t="shared" si="27"/>
        <v>14004396</v>
      </c>
      <c r="AI20" s="40">
        <f t="shared" si="27"/>
        <v>0</v>
      </c>
      <c r="AJ20" s="40">
        <f t="shared" si="27"/>
        <v>0</v>
      </c>
      <c r="AK20" s="40">
        <f t="shared" si="27"/>
        <v>0</v>
      </c>
      <c r="AL20" s="40">
        <f t="shared" si="27"/>
        <v>0</v>
      </c>
      <c r="AM20" s="40">
        <f t="shared" si="27"/>
        <v>0</v>
      </c>
      <c r="AN20" s="40">
        <f t="shared" si="27"/>
        <v>0</v>
      </c>
      <c r="AO20" s="40">
        <f t="shared" si="27"/>
        <v>27578230</v>
      </c>
      <c r="AP20" s="40">
        <f t="shared" si="27"/>
        <v>1796640</v>
      </c>
      <c r="AQ20" s="40">
        <f t="shared" si="27"/>
        <v>0</v>
      </c>
      <c r="AR20" s="40">
        <f t="shared" si="27"/>
        <v>0</v>
      </c>
      <c r="AS20" s="40">
        <f t="shared" si="27"/>
        <v>0</v>
      </c>
      <c r="AT20" s="40">
        <f t="shared" si="27"/>
        <v>0</v>
      </c>
      <c r="AU20" s="40">
        <f t="shared" si="27"/>
        <v>0</v>
      </c>
      <c r="AV20" s="40">
        <f t="shared" si="27"/>
        <v>189218388</v>
      </c>
      <c r="AW20" s="159">
        <f t="shared" si="3"/>
        <v>0.24082480581344834</v>
      </c>
      <c r="AX20" s="40">
        <f t="shared" ref="AX20:BM20" si="28">SUM(AX4:AX19)</f>
        <v>364965412</v>
      </c>
      <c r="AY20" s="40">
        <f t="shared" si="28"/>
        <v>0</v>
      </c>
      <c r="AZ20" s="40">
        <f t="shared" si="28"/>
        <v>209530623</v>
      </c>
      <c r="BA20" s="40">
        <f t="shared" si="28"/>
        <v>0</v>
      </c>
      <c r="BB20" s="40">
        <f t="shared" si="28"/>
        <v>112120020</v>
      </c>
      <c r="BC20" s="40">
        <f t="shared" si="28"/>
        <v>0</v>
      </c>
      <c r="BD20" s="40">
        <f t="shared" si="28"/>
        <v>0</v>
      </c>
      <c r="BE20" s="40">
        <f t="shared" si="28"/>
        <v>0</v>
      </c>
      <c r="BF20" s="40">
        <f t="shared" si="28"/>
        <v>0</v>
      </c>
      <c r="BG20" s="40">
        <f t="shared" si="28"/>
        <v>0</v>
      </c>
      <c r="BH20" s="40">
        <f t="shared" si="28"/>
        <v>0</v>
      </c>
      <c r="BI20" s="40">
        <f t="shared" si="28"/>
        <v>0</v>
      </c>
      <c r="BJ20" s="40">
        <f t="shared" si="28"/>
        <v>2853216</v>
      </c>
      <c r="BK20" s="40">
        <f t="shared" si="28"/>
        <v>0</v>
      </c>
      <c r="BL20" s="40">
        <f t="shared" si="28"/>
        <v>0</v>
      </c>
      <c r="BM20" s="40">
        <f t="shared" si="28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40461553</v>
      </c>
      <c r="BR20" s="159">
        <f t="shared" si="10"/>
        <v>0.75917519418655166</v>
      </c>
      <c r="BS20" s="189">
        <f t="shared" ref="BS20:CI20" si="29">SUM(BS4:BS19)</f>
        <v>1150515565</v>
      </c>
      <c r="BT20" s="40">
        <f t="shared" si="29"/>
        <v>0</v>
      </c>
      <c r="BU20" s="40">
        <f t="shared" si="29"/>
        <v>0</v>
      </c>
      <c r="BV20" s="40">
        <f t="shared" si="29"/>
        <v>240469377</v>
      </c>
      <c r="BW20" s="40">
        <f t="shared" si="29"/>
        <v>0</v>
      </c>
      <c r="BX20" s="40">
        <f t="shared" si="29"/>
        <v>677448534</v>
      </c>
      <c r="BY20" s="40">
        <f t="shared" si="29"/>
        <v>14004396</v>
      </c>
      <c r="BZ20" s="40">
        <f t="shared" si="29"/>
        <v>0</v>
      </c>
      <c r="CA20" s="40">
        <f t="shared" si="29"/>
        <v>0</v>
      </c>
      <c r="CB20" s="40">
        <f t="shared" si="29"/>
        <v>0</v>
      </c>
      <c r="CC20" s="40">
        <f t="shared" si="29"/>
        <v>0</v>
      </c>
      <c r="CD20" s="40">
        <f t="shared" si="29"/>
        <v>0</v>
      </c>
      <c r="CE20" s="40">
        <f t="shared" si="29"/>
        <v>0</v>
      </c>
      <c r="CF20" s="40">
        <f t="shared" si="29"/>
        <v>27578230</v>
      </c>
      <c r="CG20" s="40">
        <f t="shared" si="29"/>
        <v>1796640</v>
      </c>
      <c r="CH20" s="40">
        <f t="shared" si="29"/>
        <v>0</v>
      </c>
      <c r="CI20" s="40">
        <f t="shared" si="29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189218388</v>
      </c>
      <c r="CN20" s="39">
        <f t="shared" si="12"/>
        <v>0.24082480581344834</v>
      </c>
      <c r="CO20" s="40">
        <f t="shared" ref="CO20:DH20" si="30">SUM(CO4:CO19)</f>
        <v>364965412</v>
      </c>
      <c r="CP20" s="40">
        <f t="shared" si="30"/>
        <v>0</v>
      </c>
      <c r="CQ20" s="40">
        <f t="shared" si="30"/>
        <v>209530623</v>
      </c>
      <c r="CR20" s="40">
        <f t="shared" si="30"/>
        <v>0</v>
      </c>
      <c r="CS20" s="40">
        <f t="shared" si="30"/>
        <v>112120020</v>
      </c>
      <c r="CT20" s="40">
        <f t="shared" si="30"/>
        <v>0</v>
      </c>
      <c r="CU20" s="40">
        <f t="shared" si="30"/>
        <v>0</v>
      </c>
      <c r="CV20" s="40">
        <f t="shared" si="30"/>
        <v>0</v>
      </c>
      <c r="CW20" s="40">
        <f t="shared" si="30"/>
        <v>0</v>
      </c>
      <c r="CX20" s="40">
        <f t="shared" si="30"/>
        <v>0</v>
      </c>
      <c r="CY20" s="40">
        <f t="shared" si="30"/>
        <v>0</v>
      </c>
      <c r="CZ20" s="40">
        <f t="shared" si="30"/>
        <v>0</v>
      </c>
      <c r="DA20" s="40">
        <f t="shared" si="30"/>
        <v>2853216</v>
      </c>
      <c r="DB20" s="40">
        <f t="shared" si="30"/>
        <v>0</v>
      </c>
      <c r="DC20" s="40">
        <f t="shared" si="30"/>
        <v>0</v>
      </c>
      <c r="DD20" s="40">
        <f t="shared" si="30"/>
        <v>0</v>
      </c>
      <c r="DE20" s="40">
        <f t="shared" si="30"/>
        <v>0</v>
      </c>
      <c r="DF20" s="40">
        <f t="shared" si="30"/>
        <v>0</v>
      </c>
      <c r="DG20" s="40">
        <f t="shared" si="30"/>
        <v>0</v>
      </c>
      <c r="DH20" s="42">
        <f t="shared" si="30"/>
        <v>40461553</v>
      </c>
      <c r="DJ20" s="197" t="s">
        <v>409</v>
      </c>
      <c r="DK20" s="194"/>
      <c r="DL20" s="198">
        <v>1515480977</v>
      </c>
      <c r="DM20" s="199">
        <v>1150515565</v>
      </c>
      <c r="DN20" s="200">
        <v>0.75919999999999999</v>
      </c>
    </row>
    <row r="21" spans="1:118" ht="27" hidden="1" customHeight="1" thickTop="1" x14ac:dyDescent="0.25">
      <c r="A21" s="19" t="s">
        <v>87</v>
      </c>
      <c r="B21" s="245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1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2">SUM(AC21:AV21)</f>
        <v>449538252</v>
      </c>
      <c r="AC21" s="24"/>
      <c r="AD21" s="24"/>
      <c r="AE21" s="24">
        <f>+'[9]AGOSTO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48">
        <f t="shared" si="3"/>
        <v>1.0261066666666929E-3</v>
      </c>
      <c r="AX21" s="24">
        <f t="shared" ref="AX21:AX59" si="33">SUM(AY21:BQ21)</f>
        <v>461748</v>
      </c>
      <c r="AY21" s="24">
        <f t="shared" ref="AY21:BA36" si="34">H21-AD21</f>
        <v>0</v>
      </c>
      <c r="AZ21" s="24">
        <f t="shared" si="34"/>
        <v>461748</v>
      </c>
      <c r="BA21" s="24">
        <f t="shared" si="34"/>
        <v>0</v>
      </c>
      <c r="BB21" s="24">
        <f t="shared" ref="BB21:BM23" si="35">+K21-AG21</f>
        <v>0</v>
      </c>
      <c r="BC21" s="24">
        <f t="shared" si="35"/>
        <v>0</v>
      </c>
      <c r="BD21" s="24">
        <f t="shared" si="35"/>
        <v>0</v>
      </c>
      <c r="BE21" s="24">
        <f t="shared" si="35"/>
        <v>0</v>
      </c>
      <c r="BF21" s="24">
        <f t="shared" si="35"/>
        <v>0</v>
      </c>
      <c r="BG21" s="24">
        <f t="shared" si="35"/>
        <v>0</v>
      </c>
      <c r="BH21" s="24">
        <f t="shared" si="35"/>
        <v>0</v>
      </c>
      <c r="BI21" s="24">
        <f t="shared" si="35"/>
        <v>0</v>
      </c>
      <c r="BJ21" s="24">
        <f t="shared" si="35"/>
        <v>0</v>
      </c>
      <c r="BK21" s="24">
        <f t="shared" si="35"/>
        <v>0</v>
      </c>
      <c r="BL21" s="24">
        <f t="shared" si="35"/>
        <v>0</v>
      </c>
      <c r="BM21" s="24">
        <f t="shared" si="35"/>
        <v>0</v>
      </c>
      <c r="BN21" s="24"/>
      <c r="BO21" s="24"/>
      <c r="BP21" s="24"/>
      <c r="BQ21" s="24">
        <f>+Z21-AV21</f>
        <v>0</v>
      </c>
      <c r="BR21" s="48">
        <f t="shared" si="10"/>
        <v>0.99897389333333331</v>
      </c>
      <c r="BS21" s="24">
        <f t="shared" ref="BS21:BS59" si="36">SUM(BT21:CM21)</f>
        <v>449538252</v>
      </c>
      <c r="BT21" s="24"/>
      <c r="BU21" s="24"/>
      <c r="BV21" s="24">
        <f>+'[10]SEPTIEMBRE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48">
        <f t="shared" si="12"/>
        <v>1.0261066666666929E-3</v>
      </c>
      <c r="CO21" s="24">
        <f t="shared" ref="CO21:CO59" si="37">SUM(CP21:DH21)</f>
        <v>461748</v>
      </c>
      <c r="CP21" s="24">
        <f t="shared" ref="CP21:CU36" si="38">H21-BU21</f>
        <v>0</v>
      </c>
      <c r="CQ21" s="24">
        <f t="shared" si="38"/>
        <v>461748</v>
      </c>
      <c r="CR21" s="24">
        <f t="shared" si="38"/>
        <v>0</v>
      </c>
      <c r="CS21" s="24">
        <f t="shared" si="38"/>
        <v>0</v>
      </c>
      <c r="CT21" s="24">
        <f t="shared" si="38"/>
        <v>0</v>
      </c>
      <c r="CU21" s="24">
        <f t="shared" si="38"/>
        <v>0</v>
      </c>
      <c r="CV21" s="24">
        <f t="shared" ref="CV21:CX23" si="39">+N21-CA21</f>
        <v>0</v>
      </c>
      <c r="CW21" s="24">
        <f t="shared" si="39"/>
        <v>0</v>
      </c>
      <c r="CX21" s="24">
        <f t="shared" si="39"/>
        <v>0</v>
      </c>
      <c r="CY21" s="24">
        <f t="shared" ref="CY21:DA23" si="40">Q21-CD21</f>
        <v>0</v>
      </c>
      <c r="CZ21" s="24">
        <f t="shared" si="40"/>
        <v>0</v>
      </c>
      <c r="DA21" s="24">
        <f t="shared" si="40"/>
        <v>0</v>
      </c>
      <c r="DB21" s="24">
        <f t="shared" ref="DB21:DD23" si="41">+T21-CG21</f>
        <v>0</v>
      </c>
      <c r="DC21" s="24">
        <f t="shared" si="41"/>
        <v>0</v>
      </c>
      <c r="DD21" s="24">
        <f t="shared" si="41"/>
        <v>0</v>
      </c>
      <c r="DE21" s="24"/>
      <c r="DF21" s="24">
        <f t="shared" ref="DF21:DH23" si="42">+X21-CK21</f>
        <v>0</v>
      </c>
      <c r="DG21" s="24">
        <f t="shared" si="42"/>
        <v>0</v>
      </c>
      <c r="DH21" s="24">
        <f t="shared" si="42"/>
        <v>0</v>
      </c>
      <c r="DJ21" s="194"/>
      <c r="DK21" s="194"/>
      <c r="DL21" s="198"/>
      <c r="DM21" s="199"/>
      <c r="DN21" s="200"/>
    </row>
    <row r="22" spans="1:118" ht="48.75" hidden="1" customHeight="1" x14ac:dyDescent="0.25">
      <c r="A22" s="30"/>
      <c r="B22" s="240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1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0.99258345333333331</v>
      </c>
      <c r="AB22" s="24">
        <f t="shared" si="32"/>
        <v>148887518</v>
      </c>
      <c r="AC22" s="24"/>
      <c r="AD22" s="24"/>
      <c r="AE22" s="24">
        <f>+'[2]DICIEMBRE 2016'!$M$1693</f>
        <v>148887518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7.4165466666666902E-3</v>
      </c>
      <c r="AX22" s="24">
        <f t="shared" si="33"/>
        <v>1112482</v>
      </c>
      <c r="AY22" s="24">
        <f t="shared" si="34"/>
        <v>0</v>
      </c>
      <c r="AZ22" s="24">
        <f t="shared" si="34"/>
        <v>1112482</v>
      </c>
      <c r="BA22" s="24">
        <f t="shared" si="34"/>
        <v>0</v>
      </c>
      <c r="BB22" s="24">
        <f t="shared" si="35"/>
        <v>0</v>
      </c>
      <c r="BC22" s="24">
        <f t="shared" si="35"/>
        <v>0</v>
      </c>
      <c r="BD22" s="24">
        <f t="shared" si="35"/>
        <v>0</v>
      </c>
      <c r="BE22" s="24">
        <f t="shared" si="35"/>
        <v>0</v>
      </c>
      <c r="BF22" s="24">
        <f t="shared" si="35"/>
        <v>0</v>
      </c>
      <c r="BG22" s="24">
        <f t="shared" si="35"/>
        <v>0</v>
      </c>
      <c r="BH22" s="24">
        <f t="shared" si="35"/>
        <v>0</v>
      </c>
      <c r="BI22" s="24">
        <f t="shared" si="35"/>
        <v>0</v>
      </c>
      <c r="BJ22" s="24">
        <f t="shared" si="35"/>
        <v>0</v>
      </c>
      <c r="BK22" s="24">
        <f t="shared" si="35"/>
        <v>0</v>
      </c>
      <c r="BL22" s="24">
        <f t="shared" si="35"/>
        <v>0</v>
      </c>
      <c r="BM22" s="24">
        <f t="shared" si="35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6"/>
        <v>148887518</v>
      </c>
      <c r="BT22" s="24"/>
      <c r="BU22" s="24"/>
      <c r="BV22" s="24">
        <f>+'[10]SEPTIEMBRE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37"/>
        <v>1112482</v>
      </c>
      <c r="CP22" s="24">
        <f t="shared" si="38"/>
        <v>0</v>
      </c>
      <c r="CQ22" s="24">
        <f t="shared" si="38"/>
        <v>1112482</v>
      </c>
      <c r="CR22" s="24">
        <f t="shared" si="38"/>
        <v>0</v>
      </c>
      <c r="CS22" s="24">
        <f t="shared" si="38"/>
        <v>0</v>
      </c>
      <c r="CT22" s="24">
        <f t="shared" si="38"/>
        <v>0</v>
      </c>
      <c r="CU22" s="24">
        <f t="shared" si="38"/>
        <v>0</v>
      </c>
      <c r="CV22" s="24">
        <f t="shared" si="39"/>
        <v>0</v>
      </c>
      <c r="CW22" s="24">
        <f t="shared" si="39"/>
        <v>0</v>
      </c>
      <c r="CX22" s="24">
        <f t="shared" si="39"/>
        <v>0</v>
      </c>
      <c r="CY22" s="24">
        <f t="shared" si="40"/>
        <v>0</v>
      </c>
      <c r="CZ22" s="24">
        <f t="shared" si="40"/>
        <v>0</v>
      </c>
      <c r="DA22" s="24">
        <f t="shared" si="40"/>
        <v>0</v>
      </c>
      <c r="DB22" s="24">
        <f t="shared" si="41"/>
        <v>0</v>
      </c>
      <c r="DC22" s="24">
        <f t="shared" si="41"/>
        <v>0</v>
      </c>
      <c r="DD22" s="24">
        <f t="shared" si="41"/>
        <v>0</v>
      </c>
      <c r="DE22" s="24"/>
      <c r="DF22" s="24">
        <f t="shared" si="42"/>
        <v>0</v>
      </c>
      <c r="DG22" s="24">
        <f t="shared" si="42"/>
        <v>0</v>
      </c>
      <c r="DH22" s="24">
        <f t="shared" si="42"/>
        <v>0</v>
      </c>
      <c r="DJ22" s="194"/>
      <c r="DK22" s="194"/>
      <c r="DL22" s="198"/>
      <c r="DM22" s="199"/>
      <c r="DN22" s="200"/>
    </row>
    <row r="23" spans="1:118" ht="33.75" hidden="1" customHeight="1" x14ac:dyDescent="0.25">
      <c r="A23" s="30"/>
      <c r="B23" s="241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1"/>
        <v>959325162</v>
      </c>
      <c r="H23" s="24"/>
      <c r="I23" s="24">
        <f>200000000+400000000+39616700+228708462+75000000</f>
        <v>943325162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0.99622002721950909</v>
      </c>
      <c r="AB23" s="24">
        <f t="shared" si="32"/>
        <v>955698939</v>
      </c>
      <c r="AC23" s="24"/>
      <c r="AD23" s="24"/>
      <c r="AE23" s="24">
        <f>+'[4]DICIEMBRE 2016'!$M$1700</f>
        <v>943133259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+'[2]DICIEMBRE 2016'!$AG$1711</f>
        <v>12565680</v>
      </c>
      <c r="AW23" s="25">
        <f t="shared" si="3"/>
        <v>3.7799727804909145E-3</v>
      </c>
      <c r="AX23" s="24">
        <f t="shared" si="33"/>
        <v>3626223</v>
      </c>
      <c r="AY23" s="24">
        <f t="shared" si="34"/>
        <v>0</v>
      </c>
      <c r="AZ23" s="24">
        <f t="shared" si="34"/>
        <v>191903</v>
      </c>
      <c r="BA23" s="24">
        <f t="shared" si="34"/>
        <v>0</v>
      </c>
      <c r="BB23" s="24">
        <f t="shared" si="35"/>
        <v>0</v>
      </c>
      <c r="BC23" s="24">
        <f t="shared" si="35"/>
        <v>0</v>
      </c>
      <c r="BD23" s="24">
        <f t="shared" si="35"/>
        <v>0</v>
      </c>
      <c r="BE23" s="24">
        <f t="shared" si="35"/>
        <v>0</v>
      </c>
      <c r="BF23" s="24">
        <f t="shared" si="35"/>
        <v>0</v>
      </c>
      <c r="BG23" s="24">
        <f t="shared" si="35"/>
        <v>0</v>
      </c>
      <c r="BH23" s="24">
        <f t="shared" si="35"/>
        <v>0</v>
      </c>
      <c r="BI23" s="24">
        <f t="shared" si="35"/>
        <v>0</v>
      </c>
      <c r="BJ23" s="24">
        <f t="shared" si="35"/>
        <v>0</v>
      </c>
      <c r="BK23" s="24">
        <f t="shared" si="35"/>
        <v>0</v>
      </c>
      <c r="BL23" s="24">
        <f t="shared" si="35"/>
        <v>0</v>
      </c>
      <c r="BM23" s="24">
        <f t="shared" si="35"/>
        <v>0</v>
      </c>
      <c r="BN23" s="24"/>
      <c r="BO23" s="24"/>
      <c r="BP23" s="24"/>
      <c r="BQ23" s="24">
        <f>+Z23-AV23</f>
        <v>3434320</v>
      </c>
      <c r="BR23" s="25">
        <f t="shared" si="10"/>
        <v>0.99622002721950909</v>
      </c>
      <c r="BS23" s="24">
        <f t="shared" si="36"/>
        <v>955698939</v>
      </c>
      <c r="BT23" s="24"/>
      <c r="BU23" s="24"/>
      <c r="BV23" s="24">
        <f>+'[4]DICIEMBRE 2016'!$M$1700</f>
        <v>943133259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+'[2]DICIEMBRE 2016'!$AG$1711</f>
        <v>12565680</v>
      </c>
      <c r="CN23" s="25">
        <f t="shared" si="12"/>
        <v>3.7799727804909145E-3</v>
      </c>
      <c r="CO23" s="24">
        <f t="shared" si="37"/>
        <v>3626223</v>
      </c>
      <c r="CP23" s="24">
        <f t="shared" si="38"/>
        <v>0</v>
      </c>
      <c r="CQ23" s="24">
        <f t="shared" si="38"/>
        <v>191903</v>
      </c>
      <c r="CR23" s="24">
        <f t="shared" si="38"/>
        <v>0</v>
      </c>
      <c r="CS23" s="24">
        <f t="shared" si="38"/>
        <v>0</v>
      </c>
      <c r="CT23" s="24">
        <f t="shared" si="38"/>
        <v>0</v>
      </c>
      <c r="CU23" s="24">
        <f t="shared" si="38"/>
        <v>0</v>
      </c>
      <c r="CV23" s="24">
        <f t="shared" si="39"/>
        <v>0</v>
      </c>
      <c r="CW23" s="24">
        <f t="shared" si="39"/>
        <v>0</v>
      </c>
      <c r="CX23" s="24">
        <f t="shared" si="39"/>
        <v>0</v>
      </c>
      <c r="CY23" s="24">
        <f t="shared" si="40"/>
        <v>0</v>
      </c>
      <c r="CZ23" s="24">
        <f t="shared" si="40"/>
        <v>0</v>
      </c>
      <c r="DA23" s="24">
        <f t="shared" si="40"/>
        <v>0</v>
      </c>
      <c r="DB23" s="24">
        <f t="shared" si="41"/>
        <v>0</v>
      </c>
      <c r="DC23" s="24">
        <f t="shared" si="41"/>
        <v>0</v>
      </c>
      <c r="DD23" s="24">
        <f t="shared" si="41"/>
        <v>0</v>
      </c>
      <c r="DE23" s="24"/>
      <c r="DF23" s="24">
        <f t="shared" si="42"/>
        <v>0</v>
      </c>
      <c r="DG23" s="24">
        <f t="shared" si="42"/>
        <v>0</v>
      </c>
      <c r="DH23" s="24">
        <f t="shared" si="42"/>
        <v>3434320</v>
      </c>
      <c r="DJ23" s="194"/>
      <c r="DK23" s="194"/>
      <c r="DL23" s="198"/>
      <c r="DM23" s="199"/>
      <c r="DN23" s="200"/>
    </row>
    <row r="24" spans="1:118" ht="34.5" hidden="1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1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0.98675661999999997</v>
      </c>
      <c r="AB24" s="24">
        <f t="shared" si="32"/>
        <v>49337831</v>
      </c>
      <c r="AC24" s="24"/>
      <c r="AD24" s="24"/>
      <c r="AE24" s="24">
        <f>+'[4]DICIEMBRE 2016'!$M$1772</f>
        <v>49337831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1.3243380000000027E-2</v>
      </c>
      <c r="AX24" s="24">
        <f t="shared" si="33"/>
        <v>662169</v>
      </c>
      <c r="AY24" s="24"/>
      <c r="AZ24" s="24">
        <f t="shared" si="34"/>
        <v>662169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0.98675661999999997</v>
      </c>
      <c r="BS24" s="24">
        <f t="shared" si="36"/>
        <v>49337831</v>
      </c>
      <c r="BT24" s="24"/>
      <c r="BU24" s="24"/>
      <c r="BV24" s="24">
        <f>+'[4]DICIEMBRE 2016'!$M$1772</f>
        <v>49337831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1.3243380000000027E-2</v>
      </c>
      <c r="CO24" s="24">
        <f t="shared" si="37"/>
        <v>662169</v>
      </c>
      <c r="CP24" s="24"/>
      <c r="CQ24" s="24">
        <f t="shared" si="38"/>
        <v>662169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J24" s="194"/>
      <c r="DK24" s="194"/>
      <c r="DL24" s="198"/>
      <c r="DM24" s="199"/>
      <c r="DN24" s="200"/>
    </row>
    <row r="25" spans="1:118" ht="48" hidden="1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1"/>
        <v>175000000</v>
      </c>
      <c r="H25" s="24"/>
      <c r="I25" s="24">
        <f>250000000-75000000</f>
        <v>175000000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0.38839961142857143</v>
      </c>
      <c r="AB25" s="24">
        <f t="shared" si="32"/>
        <v>67969932</v>
      </c>
      <c r="AC25" s="24"/>
      <c r="AD25" s="24"/>
      <c r="AE25" s="24">
        <f>+'[4]DICIEMBRE 2016'!$M$1790</f>
        <v>67969932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0.61160038857142851</v>
      </c>
      <c r="AX25" s="24">
        <f t="shared" si="33"/>
        <v>107030068</v>
      </c>
      <c r="AY25" s="24"/>
      <c r="AZ25" s="24">
        <f t="shared" si="34"/>
        <v>107030068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0.38839961142857143</v>
      </c>
      <c r="BS25" s="24">
        <f t="shared" si="36"/>
        <v>67969932</v>
      </c>
      <c r="BT25" s="24"/>
      <c r="BU25" s="24"/>
      <c r="BV25" s="24">
        <f>+'[4]DICIEMBRE 2016'!$H$1788</f>
        <v>67969932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0.61160038857142851</v>
      </c>
      <c r="CO25" s="24">
        <f t="shared" si="37"/>
        <v>107030068</v>
      </c>
      <c r="CP25" s="24"/>
      <c r="CQ25" s="24">
        <f t="shared" si="38"/>
        <v>107030068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J25" s="194"/>
      <c r="DK25" s="194"/>
      <c r="DL25" s="198"/>
      <c r="DM25" s="199"/>
      <c r="DN25" s="200"/>
    </row>
    <row r="26" spans="1:118" ht="36" hidden="1" customHeight="1" x14ac:dyDescent="0.25">
      <c r="A26" s="30"/>
      <c r="B26" s="239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1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0.5699999</v>
      </c>
      <c r="AB26" s="24">
        <f t="shared" si="32"/>
        <v>5699999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+'[4]DICIEMBRE 2016'!$G$1827</f>
        <v>5699999</v>
      </c>
      <c r="AR26" s="24"/>
      <c r="AS26" s="24"/>
      <c r="AT26" s="24"/>
      <c r="AU26" s="24"/>
      <c r="AV26" s="24"/>
      <c r="AW26" s="25">
        <f t="shared" si="3"/>
        <v>0.4300001</v>
      </c>
      <c r="AX26" s="24">
        <f t="shared" si="33"/>
        <v>4300001</v>
      </c>
      <c r="AY26" s="24">
        <f t="shared" ref="AY26:BM59" si="43">H26-AD26</f>
        <v>0</v>
      </c>
      <c r="AZ26" s="24">
        <f t="shared" si="34"/>
        <v>0</v>
      </c>
      <c r="BA26" s="24">
        <f t="shared" si="34"/>
        <v>0</v>
      </c>
      <c r="BB26" s="24">
        <f t="shared" ref="BB26:BM37" si="44">+K26-AG26</f>
        <v>0</v>
      </c>
      <c r="BC26" s="24">
        <f t="shared" si="44"/>
        <v>0</v>
      </c>
      <c r="BD26" s="24">
        <f t="shared" si="44"/>
        <v>0</v>
      </c>
      <c r="BE26" s="24">
        <f t="shared" si="44"/>
        <v>0</v>
      </c>
      <c r="BF26" s="24">
        <f t="shared" si="44"/>
        <v>0</v>
      </c>
      <c r="BG26" s="24">
        <f t="shared" si="44"/>
        <v>0</v>
      </c>
      <c r="BH26" s="24">
        <f t="shared" si="44"/>
        <v>0</v>
      </c>
      <c r="BI26" s="24">
        <f t="shared" si="44"/>
        <v>0</v>
      </c>
      <c r="BJ26" s="24">
        <f t="shared" si="44"/>
        <v>0</v>
      </c>
      <c r="BK26" s="24">
        <f t="shared" si="44"/>
        <v>0</v>
      </c>
      <c r="BL26" s="24">
        <f t="shared" si="44"/>
        <v>4300001</v>
      </c>
      <c r="BM26" s="24">
        <f t="shared" si="44"/>
        <v>0</v>
      </c>
      <c r="BN26" s="24"/>
      <c r="BO26" s="24"/>
      <c r="BP26" s="24"/>
      <c r="BQ26" s="24">
        <f t="shared" ref="BQ26:BQ37" si="45">+Z26-AV26</f>
        <v>0</v>
      </c>
      <c r="BR26" s="25">
        <f t="shared" si="10"/>
        <v>0.5699999</v>
      </c>
      <c r="BS26" s="24">
        <f t="shared" si="36"/>
        <v>5699999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+'[4]DICIEMBRE 2016'!$H$1827</f>
        <v>5699999</v>
      </c>
      <c r="CI26" s="24"/>
      <c r="CJ26" s="24"/>
      <c r="CK26" s="24"/>
      <c r="CL26" s="24"/>
      <c r="CM26" s="24"/>
      <c r="CN26" s="25">
        <f t="shared" si="12"/>
        <v>0.4300001</v>
      </c>
      <c r="CO26" s="24">
        <f t="shared" si="37"/>
        <v>4300001</v>
      </c>
      <c r="CP26" s="24">
        <f t="shared" ref="CP26:CU59" si="46">H26-BU26</f>
        <v>0</v>
      </c>
      <c r="CQ26" s="24">
        <f t="shared" si="38"/>
        <v>0</v>
      </c>
      <c r="CR26" s="24">
        <f t="shared" si="38"/>
        <v>0</v>
      </c>
      <c r="CS26" s="24">
        <f t="shared" si="38"/>
        <v>0</v>
      </c>
      <c r="CT26" s="24">
        <f t="shared" si="38"/>
        <v>0</v>
      </c>
      <c r="CU26" s="24">
        <f t="shared" si="38"/>
        <v>0</v>
      </c>
      <c r="CV26" s="24">
        <f t="shared" ref="CV26:CX37" si="47">+N26-CA26</f>
        <v>0</v>
      </c>
      <c r="CW26" s="24">
        <f t="shared" si="47"/>
        <v>0</v>
      </c>
      <c r="CX26" s="24">
        <f t="shared" si="47"/>
        <v>0</v>
      </c>
      <c r="CY26" s="24">
        <f t="shared" ref="CY26:DD47" si="48">Q26-CD26</f>
        <v>0</v>
      </c>
      <c r="CZ26" s="24">
        <f t="shared" si="48"/>
        <v>0</v>
      </c>
      <c r="DA26" s="24">
        <f t="shared" si="48"/>
        <v>0</v>
      </c>
      <c r="DB26" s="24">
        <f t="shared" ref="DB26:DD31" si="49">+T26-CG26</f>
        <v>0</v>
      </c>
      <c r="DC26" s="24">
        <f t="shared" si="49"/>
        <v>4300001</v>
      </c>
      <c r="DD26" s="24">
        <f t="shared" si="49"/>
        <v>0</v>
      </c>
      <c r="DE26" s="24"/>
      <c r="DF26" s="24">
        <f t="shared" ref="DF26:DH31" si="50">+X26-CK26</f>
        <v>0</v>
      </c>
      <c r="DG26" s="24">
        <f t="shared" si="50"/>
        <v>0</v>
      </c>
      <c r="DH26" s="24">
        <f t="shared" si="50"/>
        <v>0</v>
      </c>
      <c r="DJ26" s="194"/>
      <c r="DK26" s="194"/>
      <c r="DL26" s="198"/>
      <c r="DM26" s="199"/>
      <c r="DN26" s="200"/>
    </row>
    <row r="27" spans="1:118" ht="33" hidden="1" customHeight="1" x14ac:dyDescent="0.25">
      <c r="A27" s="30"/>
      <c r="B27" s="240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1"/>
        <v>20000000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f>10000000+10000000</f>
        <v>20000000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2"/>
        <v>20000000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+'[5]NOVIEMBRE 2016'!$Y$1737</f>
        <v>20000000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3"/>
        <v>0</v>
      </c>
      <c r="AY27" s="24">
        <f t="shared" si="43"/>
        <v>0</v>
      </c>
      <c r="AZ27" s="24">
        <f t="shared" si="34"/>
        <v>0</v>
      </c>
      <c r="BA27" s="24">
        <f t="shared" si="34"/>
        <v>0</v>
      </c>
      <c r="BB27" s="24">
        <f t="shared" si="44"/>
        <v>0</v>
      </c>
      <c r="BC27" s="24">
        <f t="shared" si="44"/>
        <v>0</v>
      </c>
      <c r="BD27" s="24">
        <f t="shared" si="44"/>
        <v>0</v>
      </c>
      <c r="BE27" s="24">
        <f t="shared" si="44"/>
        <v>0</v>
      </c>
      <c r="BF27" s="24">
        <f t="shared" si="44"/>
        <v>0</v>
      </c>
      <c r="BG27" s="24">
        <f t="shared" si="44"/>
        <v>0</v>
      </c>
      <c r="BH27" s="24">
        <f t="shared" si="44"/>
        <v>0</v>
      </c>
      <c r="BI27" s="24">
        <f t="shared" si="44"/>
        <v>0</v>
      </c>
      <c r="BJ27" s="24">
        <f t="shared" si="44"/>
        <v>0</v>
      </c>
      <c r="BK27" s="24">
        <f t="shared" si="44"/>
        <v>0</v>
      </c>
      <c r="BL27" s="24">
        <f t="shared" si="44"/>
        <v>0</v>
      </c>
      <c r="BM27" s="24">
        <f t="shared" si="44"/>
        <v>0</v>
      </c>
      <c r="BN27" s="24"/>
      <c r="BO27" s="24"/>
      <c r="BP27" s="24"/>
      <c r="BQ27" s="24">
        <f t="shared" si="45"/>
        <v>0</v>
      </c>
      <c r="BR27" s="25">
        <f t="shared" si="10"/>
        <v>1</v>
      </c>
      <c r="BS27" s="24">
        <f t="shared" si="36"/>
        <v>20000000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+'[5]NOVIEMBRE 2016'!$H$1735</f>
        <v>20000000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37"/>
        <v>0</v>
      </c>
      <c r="CP27" s="24">
        <f t="shared" si="46"/>
        <v>0</v>
      </c>
      <c r="CQ27" s="24">
        <f t="shared" si="38"/>
        <v>0</v>
      </c>
      <c r="CR27" s="24">
        <f t="shared" si="38"/>
        <v>0</v>
      </c>
      <c r="CS27" s="24">
        <f t="shared" si="38"/>
        <v>0</v>
      </c>
      <c r="CT27" s="24">
        <f t="shared" si="38"/>
        <v>0</v>
      </c>
      <c r="CU27" s="24">
        <f t="shared" si="38"/>
        <v>0</v>
      </c>
      <c r="CV27" s="24">
        <f t="shared" si="47"/>
        <v>0</v>
      </c>
      <c r="CW27" s="24">
        <f t="shared" si="47"/>
        <v>0</v>
      </c>
      <c r="CX27" s="24">
        <f t="shared" si="47"/>
        <v>0</v>
      </c>
      <c r="CY27" s="24">
        <f t="shared" si="48"/>
        <v>0</v>
      </c>
      <c r="CZ27" s="24">
        <f t="shared" si="48"/>
        <v>0</v>
      </c>
      <c r="DA27" s="24">
        <f t="shared" si="48"/>
        <v>0</v>
      </c>
      <c r="DB27" s="24">
        <f t="shared" si="49"/>
        <v>0</v>
      </c>
      <c r="DC27" s="24">
        <f t="shared" si="49"/>
        <v>0</v>
      </c>
      <c r="DD27" s="24">
        <f t="shared" si="49"/>
        <v>0</v>
      </c>
      <c r="DE27" s="24"/>
      <c r="DF27" s="24">
        <f t="shared" si="50"/>
        <v>0</v>
      </c>
      <c r="DG27" s="24">
        <f t="shared" si="50"/>
        <v>0</v>
      </c>
      <c r="DH27" s="24">
        <f t="shared" si="50"/>
        <v>0</v>
      </c>
      <c r="DJ27" s="194"/>
      <c r="DK27" s="194"/>
      <c r="DL27" s="198"/>
      <c r="DM27" s="199"/>
      <c r="DN27" s="200"/>
    </row>
    <row r="28" spans="1:118" ht="36.75" hidden="1" customHeight="1" x14ac:dyDescent="0.25">
      <c r="A28" s="30"/>
      <c r="B28" s="240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1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2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3"/>
        <v>0</v>
      </c>
      <c r="AY28" s="24">
        <f t="shared" si="43"/>
        <v>0</v>
      </c>
      <c r="AZ28" s="24">
        <f t="shared" si="34"/>
        <v>0</v>
      </c>
      <c r="BA28" s="24">
        <f t="shared" si="34"/>
        <v>0</v>
      </c>
      <c r="BB28" s="24">
        <f t="shared" si="44"/>
        <v>0</v>
      </c>
      <c r="BC28" s="24">
        <f t="shared" si="44"/>
        <v>0</v>
      </c>
      <c r="BD28" s="24">
        <f t="shared" si="44"/>
        <v>0</v>
      </c>
      <c r="BE28" s="24">
        <f t="shared" si="44"/>
        <v>0</v>
      </c>
      <c r="BF28" s="24">
        <f t="shared" si="44"/>
        <v>0</v>
      </c>
      <c r="BG28" s="24">
        <f t="shared" si="44"/>
        <v>0</v>
      </c>
      <c r="BH28" s="24">
        <f t="shared" si="44"/>
        <v>0</v>
      </c>
      <c r="BI28" s="24">
        <f t="shared" si="44"/>
        <v>0</v>
      </c>
      <c r="BJ28" s="24">
        <f t="shared" si="44"/>
        <v>0</v>
      </c>
      <c r="BK28" s="24">
        <f t="shared" si="44"/>
        <v>0</v>
      </c>
      <c r="BL28" s="24">
        <f t="shared" si="44"/>
        <v>0</v>
      </c>
      <c r="BM28" s="24">
        <f t="shared" si="44"/>
        <v>0</v>
      </c>
      <c r="BN28" s="24"/>
      <c r="BO28" s="24"/>
      <c r="BP28" s="24"/>
      <c r="BQ28" s="24">
        <f t="shared" si="45"/>
        <v>0</v>
      </c>
      <c r="BR28" s="25" t="e">
        <f t="shared" si="10"/>
        <v>#DIV/0!</v>
      </c>
      <c r="BS28" s="24">
        <f t="shared" si="36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37"/>
        <v>0</v>
      </c>
      <c r="CP28" s="24">
        <f t="shared" si="46"/>
        <v>0</v>
      </c>
      <c r="CQ28" s="24">
        <f t="shared" si="38"/>
        <v>0</v>
      </c>
      <c r="CR28" s="24">
        <f t="shared" si="38"/>
        <v>0</v>
      </c>
      <c r="CS28" s="24">
        <f t="shared" si="38"/>
        <v>0</v>
      </c>
      <c r="CT28" s="24">
        <f t="shared" si="38"/>
        <v>0</v>
      </c>
      <c r="CU28" s="24">
        <f t="shared" si="38"/>
        <v>0</v>
      </c>
      <c r="CV28" s="24">
        <f t="shared" si="47"/>
        <v>0</v>
      </c>
      <c r="CW28" s="24">
        <f t="shared" si="47"/>
        <v>0</v>
      </c>
      <c r="CX28" s="24">
        <f t="shared" si="47"/>
        <v>0</v>
      </c>
      <c r="CY28" s="24">
        <f t="shared" si="48"/>
        <v>0</v>
      </c>
      <c r="CZ28" s="24">
        <f t="shared" si="48"/>
        <v>0</v>
      </c>
      <c r="DA28" s="24">
        <f t="shared" si="48"/>
        <v>0</v>
      </c>
      <c r="DB28" s="24">
        <f t="shared" si="49"/>
        <v>0</v>
      </c>
      <c r="DC28" s="24">
        <f t="shared" si="49"/>
        <v>0</v>
      </c>
      <c r="DD28" s="24">
        <f t="shared" si="49"/>
        <v>0</v>
      </c>
      <c r="DE28" s="24"/>
      <c r="DF28" s="24">
        <f t="shared" si="50"/>
        <v>0</v>
      </c>
      <c r="DG28" s="24">
        <f t="shared" si="50"/>
        <v>0</v>
      </c>
      <c r="DH28" s="24">
        <f t="shared" si="50"/>
        <v>0</v>
      </c>
      <c r="DJ28" s="194"/>
      <c r="DK28" s="194"/>
      <c r="DL28" s="198"/>
      <c r="DM28" s="199"/>
      <c r="DN28" s="200"/>
    </row>
    <row r="29" spans="1:118" ht="33.75" hidden="1" customHeight="1" x14ac:dyDescent="0.25">
      <c r="A29" s="30"/>
      <c r="B29" s="240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1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0.86802470370370366</v>
      </c>
      <c r="AB29" s="24">
        <f t="shared" si="32"/>
        <v>23436667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+'[4]DICIEMBRE 2016'!$Y$1854</f>
        <v>23436667</v>
      </c>
      <c r="AR29" s="24"/>
      <c r="AS29" s="24"/>
      <c r="AT29" s="24"/>
      <c r="AU29" s="24"/>
      <c r="AV29" s="24"/>
      <c r="AW29" s="25">
        <f t="shared" si="3"/>
        <v>0.13197529629629634</v>
      </c>
      <c r="AX29" s="24">
        <f t="shared" si="33"/>
        <v>3563333</v>
      </c>
      <c r="AY29" s="24">
        <f t="shared" si="43"/>
        <v>0</v>
      </c>
      <c r="AZ29" s="24">
        <f t="shared" si="34"/>
        <v>0</v>
      </c>
      <c r="BA29" s="24">
        <f t="shared" si="34"/>
        <v>0</v>
      </c>
      <c r="BB29" s="24">
        <f t="shared" si="44"/>
        <v>0</v>
      </c>
      <c r="BC29" s="24">
        <f t="shared" si="44"/>
        <v>0</v>
      </c>
      <c r="BD29" s="24">
        <f t="shared" si="44"/>
        <v>0</v>
      </c>
      <c r="BE29" s="24">
        <f t="shared" si="44"/>
        <v>0</v>
      </c>
      <c r="BF29" s="24">
        <f t="shared" si="44"/>
        <v>0</v>
      </c>
      <c r="BG29" s="24">
        <f t="shared" si="44"/>
        <v>0</v>
      </c>
      <c r="BH29" s="24">
        <f t="shared" si="44"/>
        <v>0</v>
      </c>
      <c r="BI29" s="24">
        <f t="shared" si="44"/>
        <v>0</v>
      </c>
      <c r="BJ29" s="24">
        <f t="shared" si="44"/>
        <v>0</v>
      </c>
      <c r="BK29" s="24">
        <f t="shared" si="44"/>
        <v>0</v>
      </c>
      <c r="BL29" s="24">
        <f t="shared" si="44"/>
        <v>3563333</v>
      </c>
      <c r="BM29" s="24">
        <f t="shared" si="44"/>
        <v>0</v>
      </c>
      <c r="BN29" s="24"/>
      <c r="BO29" s="24"/>
      <c r="BP29" s="24"/>
      <c r="BQ29" s="24">
        <f t="shared" si="45"/>
        <v>0</v>
      </c>
      <c r="BR29" s="25">
        <f t="shared" si="10"/>
        <v>0.86802470370370366</v>
      </c>
      <c r="BS29" s="24">
        <f t="shared" si="36"/>
        <v>23436667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+'[4]DICIEMBRE 2016'!$Y$1854</f>
        <v>23436667</v>
      </c>
      <c r="CI29" s="24"/>
      <c r="CJ29" s="24"/>
      <c r="CK29" s="24"/>
      <c r="CL29" s="24"/>
      <c r="CM29" s="24"/>
      <c r="CN29" s="25">
        <f t="shared" si="12"/>
        <v>0.13197529629629634</v>
      </c>
      <c r="CO29" s="24">
        <f t="shared" si="37"/>
        <v>3563333</v>
      </c>
      <c r="CP29" s="24">
        <f t="shared" si="46"/>
        <v>0</v>
      </c>
      <c r="CQ29" s="24">
        <f t="shared" si="38"/>
        <v>0</v>
      </c>
      <c r="CR29" s="24">
        <f t="shared" si="38"/>
        <v>0</v>
      </c>
      <c r="CS29" s="24">
        <f t="shared" si="38"/>
        <v>0</v>
      </c>
      <c r="CT29" s="24">
        <f t="shared" si="38"/>
        <v>0</v>
      </c>
      <c r="CU29" s="24">
        <f t="shared" si="38"/>
        <v>0</v>
      </c>
      <c r="CV29" s="24">
        <f t="shared" si="47"/>
        <v>0</v>
      </c>
      <c r="CW29" s="24">
        <f t="shared" si="47"/>
        <v>0</v>
      </c>
      <c r="CX29" s="24">
        <f t="shared" si="47"/>
        <v>0</v>
      </c>
      <c r="CY29" s="24">
        <f t="shared" si="48"/>
        <v>0</v>
      </c>
      <c r="CZ29" s="24">
        <f t="shared" si="48"/>
        <v>0</v>
      </c>
      <c r="DA29" s="24">
        <f t="shared" si="48"/>
        <v>0</v>
      </c>
      <c r="DB29" s="24">
        <f t="shared" si="49"/>
        <v>0</v>
      </c>
      <c r="DC29" s="24">
        <f t="shared" si="49"/>
        <v>3563333</v>
      </c>
      <c r="DD29" s="24">
        <f t="shared" si="49"/>
        <v>0</v>
      </c>
      <c r="DE29" s="24"/>
      <c r="DF29" s="24">
        <f t="shared" si="50"/>
        <v>0</v>
      </c>
      <c r="DG29" s="24">
        <f t="shared" si="50"/>
        <v>0</v>
      </c>
      <c r="DH29" s="24">
        <f t="shared" si="50"/>
        <v>0</v>
      </c>
      <c r="DJ29" s="194"/>
      <c r="DK29" s="194"/>
      <c r="DL29" s="198"/>
      <c r="DM29" s="199"/>
      <c r="DN29" s="200"/>
    </row>
    <row r="30" spans="1:118" ht="37.5" hidden="1" customHeight="1" x14ac:dyDescent="0.25">
      <c r="A30" s="30"/>
      <c r="B30" s="240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1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0.91219008994276374</v>
      </c>
      <c r="AB30" s="24">
        <f t="shared" si="32"/>
        <v>111560848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+'[4]DICIEMBRE 2016'!$Y$1868</f>
        <v>99183605</v>
      </c>
      <c r="AR30" s="24"/>
      <c r="AS30" s="24"/>
      <c r="AT30" s="24"/>
      <c r="AU30" s="24"/>
      <c r="AV30" s="24">
        <v>1150500</v>
      </c>
      <c r="AW30" s="25">
        <f t="shared" si="3"/>
        <v>8.7809910057236262E-2</v>
      </c>
      <c r="AX30" s="24">
        <f t="shared" si="33"/>
        <v>10739152</v>
      </c>
      <c r="AY30" s="24">
        <f t="shared" si="43"/>
        <v>0</v>
      </c>
      <c r="AZ30" s="24">
        <f t="shared" si="34"/>
        <v>0</v>
      </c>
      <c r="BA30" s="24">
        <f t="shared" si="34"/>
        <v>0</v>
      </c>
      <c r="BB30" s="24">
        <f t="shared" si="44"/>
        <v>0</v>
      </c>
      <c r="BC30" s="24">
        <f t="shared" si="44"/>
        <v>0</v>
      </c>
      <c r="BD30" s="24">
        <f t="shared" si="44"/>
        <v>0</v>
      </c>
      <c r="BE30" s="24">
        <f t="shared" si="44"/>
        <v>0</v>
      </c>
      <c r="BF30" s="24">
        <f t="shared" si="44"/>
        <v>0</v>
      </c>
      <c r="BG30" s="24">
        <f t="shared" si="44"/>
        <v>0</v>
      </c>
      <c r="BH30" s="24">
        <f t="shared" si="44"/>
        <v>0</v>
      </c>
      <c r="BI30" s="24">
        <f t="shared" si="44"/>
        <v>6073257</v>
      </c>
      <c r="BJ30" s="24">
        <f t="shared" si="44"/>
        <v>0</v>
      </c>
      <c r="BK30" s="24">
        <f t="shared" si="44"/>
        <v>0</v>
      </c>
      <c r="BL30" s="24">
        <f t="shared" si="44"/>
        <v>816395</v>
      </c>
      <c r="BM30" s="24">
        <f t="shared" si="44"/>
        <v>0</v>
      </c>
      <c r="BN30" s="24"/>
      <c r="BO30" s="24"/>
      <c r="BP30" s="24"/>
      <c r="BQ30" s="24">
        <f t="shared" si="45"/>
        <v>3849500</v>
      </c>
      <c r="BR30" s="25">
        <f t="shared" si="10"/>
        <v>0.91219008994276374</v>
      </c>
      <c r="BS30" s="24">
        <f t="shared" si="36"/>
        <v>111560848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+'[4]DICIEMBRE 2016'!$Y$1868</f>
        <v>99183605</v>
      </c>
      <c r="CI30" s="24"/>
      <c r="CJ30" s="24"/>
      <c r="CK30" s="24"/>
      <c r="CL30" s="24"/>
      <c r="CM30" s="24">
        <v>1150500</v>
      </c>
      <c r="CN30" s="25">
        <f t="shared" si="12"/>
        <v>8.7809910057236262E-2</v>
      </c>
      <c r="CO30" s="24">
        <f t="shared" si="37"/>
        <v>10739152</v>
      </c>
      <c r="CP30" s="24">
        <f t="shared" si="46"/>
        <v>0</v>
      </c>
      <c r="CQ30" s="24">
        <f t="shared" si="38"/>
        <v>0</v>
      </c>
      <c r="CR30" s="24">
        <f t="shared" si="38"/>
        <v>0</v>
      </c>
      <c r="CS30" s="24">
        <f t="shared" si="38"/>
        <v>0</v>
      </c>
      <c r="CT30" s="24">
        <f t="shared" si="38"/>
        <v>0</v>
      </c>
      <c r="CU30" s="24">
        <f t="shared" si="38"/>
        <v>0</v>
      </c>
      <c r="CV30" s="24">
        <f t="shared" si="47"/>
        <v>0</v>
      </c>
      <c r="CW30" s="24">
        <f t="shared" si="47"/>
        <v>0</v>
      </c>
      <c r="CX30" s="24">
        <f t="shared" si="47"/>
        <v>0</v>
      </c>
      <c r="CY30" s="24">
        <f t="shared" si="48"/>
        <v>0</v>
      </c>
      <c r="CZ30" s="24">
        <f t="shared" si="48"/>
        <v>6073257</v>
      </c>
      <c r="DA30" s="24">
        <f t="shared" si="48"/>
        <v>0</v>
      </c>
      <c r="DB30" s="24">
        <f t="shared" si="49"/>
        <v>0</v>
      </c>
      <c r="DC30" s="24">
        <f t="shared" si="49"/>
        <v>816395</v>
      </c>
      <c r="DD30" s="24">
        <f t="shared" si="49"/>
        <v>0</v>
      </c>
      <c r="DE30" s="24"/>
      <c r="DF30" s="24">
        <f t="shared" si="50"/>
        <v>0</v>
      </c>
      <c r="DG30" s="24">
        <f t="shared" si="50"/>
        <v>0</v>
      </c>
      <c r="DH30" s="24">
        <f t="shared" si="50"/>
        <v>3849500</v>
      </c>
      <c r="DJ30" s="194"/>
      <c r="DK30" s="194"/>
      <c r="DL30" s="198"/>
      <c r="DM30" s="199"/>
      <c r="DN30" s="200"/>
    </row>
    <row r="31" spans="1:118" ht="33.75" hidden="1" customHeight="1" x14ac:dyDescent="0.25">
      <c r="A31" s="30"/>
      <c r="B31" s="240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1"/>
        <v>90000000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f>100000000-10000000</f>
        <v>90000000</v>
      </c>
      <c r="V31" s="24"/>
      <c r="W31" s="24"/>
      <c r="X31" s="24"/>
      <c r="Y31" s="24"/>
      <c r="Z31" s="24"/>
      <c r="AA31" s="25">
        <f t="shared" si="1"/>
        <v>0.98921490000000001</v>
      </c>
      <c r="AB31" s="24">
        <f t="shared" si="32"/>
        <v>89029341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+'[4]DICIEMBRE 2016'!$Y$1926</f>
        <v>89029341</v>
      </c>
      <c r="AR31" s="24"/>
      <c r="AS31" s="24"/>
      <c r="AT31" s="24"/>
      <c r="AU31" s="24"/>
      <c r="AV31" s="24"/>
      <c r="AW31" s="25">
        <f t="shared" si="3"/>
        <v>1.0785099999999992E-2</v>
      </c>
      <c r="AX31" s="24">
        <f t="shared" si="33"/>
        <v>970659</v>
      </c>
      <c r="AY31" s="24">
        <f t="shared" si="43"/>
        <v>0</v>
      </c>
      <c r="AZ31" s="24">
        <f t="shared" si="34"/>
        <v>0</v>
      </c>
      <c r="BA31" s="24">
        <f t="shared" si="34"/>
        <v>0</v>
      </c>
      <c r="BB31" s="24">
        <f t="shared" si="44"/>
        <v>0</v>
      </c>
      <c r="BC31" s="24">
        <f t="shared" si="44"/>
        <v>0</v>
      </c>
      <c r="BD31" s="24">
        <f t="shared" si="44"/>
        <v>0</v>
      </c>
      <c r="BE31" s="24">
        <f t="shared" si="44"/>
        <v>0</v>
      </c>
      <c r="BF31" s="24">
        <f t="shared" si="44"/>
        <v>0</v>
      </c>
      <c r="BG31" s="24">
        <f t="shared" si="44"/>
        <v>0</v>
      </c>
      <c r="BH31" s="24">
        <f t="shared" si="44"/>
        <v>0</v>
      </c>
      <c r="BI31" s="24">
        <f t="shared" si="44"/>
        <v>0</v>
      </c>
      <c r="BJ31" s="24">
        <f t="shared" si="44"/>
        <v>0</v>
      </c>
      <c r="BK31" s="24">
        <f t="shared" si="44"/>
        <v>0</v>
      </c>
      <c r="BL31" s="24">
        <f t="shared" si="44"/>
        <v>970659</v>
      </c>
      <c r="BM31" s="24">
        <f t="shared" si="44"/>
        <v>0</v>
      </c>
      <c r="BN31" s="24"/>
      <c r="BO31" s="24"/>
      <c r="BP31" s="24"/>
      <c r="BQ31" s="24">
        <f t="shared" si="45"/>
        <v>0</v>
      </c>
      <c r="BR31" s="25">
        <f t="shared" si="10"/>
        <v>0.98921490000000001</v>
      </c>
      <c r="BS31" s="24">
        <f t="shared" si="36"/>
        <v>89029341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+'[4]DICIEMBRE 2016'!$Y$1926</f>
        <v>89029341</v>
      </c>
      <c r="CI31" s="24"/>
      <c r="CJ31" s="24"/>
      <c r="CK31" s="24"/>
      <c r="CL31" s="24"/>
      <c r="CM31" s="24"/>
      <c r="CN31" s="25">
        <f t="shared" si="12"/>
        <v>1.0785099999999992E-2</v>
      </c>
      <c r="CO31" s="24">
        <f t="shared" si="37"/>
        <v>970659</v>
      </c>
      <c r="CP31" s="24">
        <f t="shared" si="46"/>
        <v>0</v>
      </c>
      <c r="CQ31" s="24">
        <f t="shared" si="38"/>
        <v>0</v>
      </c>
      <c r="CR31" s="24">
        <f t="shared" si="38"/>
        <v>0</v>
      </c>
      <c r="CS31" s="24">
        <f t="shared" si="38"/>
        <v>0</v>
      </c>
      <c r="CT31" s="24">
        <f t="shared" si="38"/>
        <v>0</v>
      </c>
      <c r="CU31" s="24">
        <f t="shared" si="38"/>
        <v>0</v>
      </c>
      <c r="CV31" s="24">
        <f t="shared" si="47"/>
        <v>0</v>
      </c>
      <c r="CW31" s="24">
        <f t="shared" si="47"/>
        <v>0</v>
      </c>
      <c r="CX31" s="24">
        <f t="shared" si="47"/>
        <v>0</v>
      </c>
      <c r="CY31" s="24">
        <f t="shared" si="48"/>
        <v>0</v>
      </c>
      <c r="CZ31" s="24">
        <f t="shared" si="48"/>
        <v>0</v>
      </c>
      <c r="DA31" s="24">
        <f t="shared" si="48"/>
        <v>0</v>
      </c>
      <c r="DB31" s="24">
        <f t="shared" si="49"/>
        <v>0</v>
      </c>
      <c r="DC31" s="24">
        <f t="shared" si="49"/>
        <v>970659</v>
      </c>
      <c r="DD31" s="24">
        <f t="shared" si="49"/>
        <v>0</v>
      </c>
      <c r="DE31" s="24"/>
      <c r="DF31" s="24">
        <f t="shared" si="50"/>
        <v>0</v>
      </c>
      <c r="DG31" s="24">
        <f t="shared" si="50"/>
        <v>0</v>
      </c>
      <c r="DH31" s="24">
        <f t="shared" si="50"/>
        <v>0</v>
      </c>
      <c r="DJ31" s="194"/>
      <c r="DK31" s="194"/>
      <c r="DL31" s="198"/>
      <c r="DM31" s="199"/>
      <c r="DN31" s="200"/>
    </row>
    <row r="32" spans="1:118" ht="22.5" hidden="1" customHeight="1" x14ac:dyDescent="0.25">
      <c r="A32" s="30"/>
      <c r="B32" s="240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1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0.82352929411764708</v>
      </c>
      <c r="AB32" s="24">
        <f t="shared" si="32"/>
        <v>13999998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+'[2]DICIEMBRE 2016'!$AG$1958</f>
        <v>13999998</v>
      </c>
      <c r="AW32" s="25">
        <f t="shared" si="3"/>
        <v>0.17647070588235292</v>
      </c>
      <c r="AX32" s="24">
        <f t="shared" si="33"/>
        <v>3000002</v>
      </c>
      <c r="AY32" s="24">
        <f t="shared" si="43"/>
        <v>0</v>
      </c>
      <c r="AZ32" s="24">
        <f t="shared" si="34"/>
        <v>0</v>
      </c>
      <c r="BA32" s="24">
        <f t="shared" si="34"/>
        <v>0</v>
      </c>
      <c r="BB32" s="24">
        <f t="shared" si="44"/>
        <v>0</v>
      </c>
      <c r="BC32" s="24">
        <f t="shared" si="44"/>
        <v>0</v>
      </c>
      <c r="BD32" s="24">
        <f t="shared" si="44"/>
        <v>0</v>
      </c>
      <c r="BE32" s="24">
        <f t="shared" si="44"/>
        <v>0</v>
      </c>
      <c r="BF32" s="24">
        <f t="shared" si="44"/>
        <v>0</v>
      </c>
      <c r="BG32" s="24">
        <f t="shared" si="44"/>
        <v>0</v>
      </c>
      <c r="BH32" s="24">
        <f t="shared" si="44"/>
        <v>0</v>
      </c>
      <c r="BI32" s="24">
        <f t="shared" si="44"/>
        <v>0</v>
      </c>
      <c r="BJ32" s="24">
        <f t="shared" si="44"/>
        <v>0</v>
      </c>
      <c r="BK32" s="24"/>
      <c r="BL32" s="24">
        <f t="shared" si="44"/>
        <v>0</v>
      </c>
      <c r="BM32" s="24">
        <f t="shared" si="44"/>
        <v>0</v>
      </c>
      <c r="BN32" s="24"/>
      <c r="BO32" s="24"/>
      <c r="BP32" s="24"/>
      <c r="BQ32" s="24">
        <f t="shared" si="45"/>
        <v>3000002</v>
      </c>
      <c r="BR32" s="25">
        <f t="shared" si="10"/>
        <v>0.82352929411764708</v>
      </c>
      <c r="BS32" s="24">
        <f t="shared" si="36"/>
        <v>13999998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+'[2]DICIEMBRE 2016'!$AG$1958</f>
        <v>13999998</v>
      </c>
      <c r="CN32" s="25">
        <f t="shared" si="12"/>
        <v>0.17647070588235292</v>
      </c>
      <c r="CO32" s="24">
        <f t="shared" si="37"/>
        <v>3000002</v>
      </c>
      <c r="CP32" s="24">
        <f t="shared" si="46"/>
        <v>0</v>
      </c>
      <c r="CQ32" s="24">
        <f t="shared" si="38"/>
        <v>0</v>
      </c>
      <c r="CR32" s="24">
        <f t="shared" si="38"/>
        <v>0</v>
      </c>
      <c r="CS32" s="24">
        <f t="shared" si="38"/>
        <v>0</v>
      </c>
      <c r="CT32" s="24">
        <f t="shared" si="38"/>
        <v>0</v>
      </c>
      <c r="CU32" s="24">
        <f t="shared" si="38"/>
        <v>0</v>
      </c>
      <c r="CV32" s="24">
        <f t="shared" si="47"/>
        <v>0</v>
      </c>
      <c r="CW32" s="24">
        <f t="shared" si="47"/>
        <v>0</v>
      </c>
      <c r="CX32" s="24">
        <f t="shared" si="47"/>
        <v>0</v>
      </c>
      <c r="CY32" s="24">
        <f t="shared" si="48"/>
        <v>0</v>
      </c>
      <c r="CZ32" s="24">
        <f t="shared" si="48"/>
        <v>0</v>
      </c>
      <c r="DA32" s="24">
        <f t="shared" si="48"/>
        <v>0</v>
      </c>
      <c r="DB32" s="24">
        <f t="shared" si="48"/>
        <v>0</v>
      </c>
      <c r="DC32" s="24">
        <f t="shared" si="48"/>
        <v>0</v>
      </c>
      <c r="DD32" s="24">
        <f t="shared" si="48"/>
        <v>0</v>
      </c>
      <c r="DE32" s="24"/>
      <c r="DF32" s="24">
        <f t="shared" ref="DF32:DH47" si="51">X32-CK32</f>
        <v>0</v>
      </c>
      <c r="DG32" s="24">
        <f t="shared" si="51"/>
        <v>0</v>
      </c>
      <c r="DH32" s="24">
        <f t="shared" si="51"/>
        <v>3000002</v>
      </c>
      <c r="DJ32" s="194"/>
      <c r="DK32" s="194"/>
      <c r="DL32" s="198"/>
      <c r="DM32" s="199"/>
      <c r="DN32" s="200"/>
    </row>
    <row r="33" spans="1:118" ht="33.75" hidden="1" customHeight="1" x14ac:dyDescent="0.25">
      <c r="A33" s="30"/>
      <c r="B33" s="240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1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0.68442400000000003</v>
      </c>
      <c r="AB33" s="24">
        <f t="shared" si="32"/>
        <v>6844240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+'[2]DICIEMBRE 2016'!$AG$1976</f>
        <v>6844240</v>
      </c>
      <c r="AW33" s="25">
        <f t="shared" si="3"/>
        <v>0.31557599999999997</v>
      </c>
      <c r="AX33" s="24">
        <f t="shared" si="33"/>
        <v>3155760</v>
      </c>
      <c r="AY33" s="24">
        <f t="shared" si="43"/>
        <v>0</v>
      </c>
      <c r="AZ33" s="24">
        <f t="shared" si="34"/>
        <v>0</v>
      </c>
      <c r="BA33" s="24">
        <f t="shared" si="34"/>
        <v>0</v>
      </c>
      <c r="BB33" s="24">
        <f t="shared" si="44"/>
        <v>0</v>
      </c>
      <c r="BC33" s="24">
        <f t="shared" si="44"/>
        <v>0</v>
      </c>
      <c r="BD33" s="24">
        <f t="shared" si="44"/>
        <v>0</v>
      </c>
      <c r="BE33" s="24">
        <f t="shared" si="44"/>
        <v>0</v>
      </c>
      <c r="BF33" s="24">
        <f t="shared" si="44"/>
        <v>0</v>
      </c>
      <c r="BG33" s="24">
        <f t="shared" si="44"/>
        <v>0</v>
      </c>
      <c r="BH33" s="24">
        <f t="shared" si="44"/>
        <v>0</v>
      </c>
      <c r="BI33" s="24">
        <f t="shared" si="44"/>
        <v>0</v>
      </c>
      <c r="BJ33" s="24">
        <f t="shared" si="44"/>
        <v>0</v>
      </c>
      <c r="BK33" s="24"/>
      <c r="BL33" s="24">
        <f t="shared" si="44"/>
        <v>0</v>
      </c>
      <c r="BM33" s="24">
        <f t="shared" si="44"/>
        <v>0</v>
      </c>
      <c r="BN33" s="24"/>
      <c r="BO33" s="24"/>
      <c r="BP33" s="24"/>
      <c r="BQ33" s="24">
        <f t="shared" si="45"/>
        <v>3155760</v>
      </c>
      <c r="BR33" s="25">
        <f t="shared" si="10"/>
        <v>0.68442400000000003</v>
      </c>
      <c r="BS33" s="24">
        <f t="shared" si="36"/>
        <v>6844240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+'[2]DICIEMBRE 2016'!$H$1974</f>
        <v>6844240</v>
      </c>
      <c r="CN33" s="25">
        <f t="shared" si="12"/>
        <v>0.31557599999999997</v>
      </c>
      <c r="CO33" s="24">
        <f t="shared" si="37"/>
        <v>3155760</v>
      </c>
      <c r="CP33" s="24">
        <f t="shared" si="46"/>
        <v>0</v>
      </c>
      <c r="CQ33" s="24">
        <f t="shared" si="38"/>
        <v>0</v>
      </c>
      <c r="CR33" s="24">
        <f t="shared" si="38"/>
        <v>0</v>
      </c>
      <c r="CS33" s="24">
        <f t="shared" si="38"/>
        <v>0</v>
      </c>
      <c r="CT33" s="24">
        <f t="shared" si="38"/>
        <v>0</v>
      </c>
      <c r="CU33" s="24">
        <f t="shared" si="38"/>
        <v>0</v>
      </c>
      <c r="CV33" s="24">
        <f t="shared" si="47"/>
        <v>0</v>
      </c>
      <c r="CW33" s="24">
        <f t="shared" si="47"/>
        <v>0</v>
      </c>
      <c r="CX33" s="24">
        <f t="shared" si="47"/>
        <v>0</v>
      </c>
      <c r="CY33" s="24">
        <f t="shared" si="48"/>
        <v>0</v>
      </c>
      <c r="CZ33" s="24">
        <f t="shared" si="48"/>
        <v>0</v>
      </c>
      <c r="DA33" s="24">
        <f t="shared" si="48"/>
        <v>0</v>
      </c>
      <c r="DB33" s="24">
        <f t="shared" si="48"/>
        <v>0</v>
      </c>
      <c r="DC33" s="24">
        <f t="shared" si="48"/>
        <v>0</v>
      </c>
      <c r="DD33" s="24">
        <f t="shared" si="48"/>
        <v>0</v>
      </c>
      <c r="DE33" s="24"/>
      <c r="DF33" s="24">
        <f t="shared" si="51"/>
        <v>0</v>
      </c>
      <c r="DG33" s="24">
        <f t="shared" si="51"/>
        <v>0</v>
      </c>
      <c r="DH33" s="24">
        <f t="shared" si="51"/>
        <v>3155760</v>
      </c>
      <c r="DJ33" s="194"/>
      <c r="DK33" s="194"/>
      <c r="DL33" s="198"/>
      <c r="DM33" s="199"/>
      <c r="DN33" s="200"/>
    </row>
    <row r="34" spans="1:118" ht="39.75" hidden="1" customHeight="1" x14ac:dyDescent="0.25">
      <c r="A34" s="30"/>
      <c r="B34" s="241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1"/>
        <v>211970259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11169156+40126227+17787916+32886960</f>
        <v>101970259</v>
      </c>
      <c r="X34" s="24"/>
      <c r="Y34" s="24"/>
      <c r="Z34" s="24"/>
      <c r="AA34" s="25">
        <f t="shared" si="1"/>
        <v>0.88689944941757137</v>
      </c>
      <c r="AB34" s="24">
        <f t="shared" si="32"/>
        <v>187996306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+'[2]DICIEMBRE 2016'!$Y$1989</f>
        <v>102694205</v>
      </c>
      <c r="AR34" s="24"/>
      <c r="AS34" s="24">
        <f>+'[4]DICIEMBRE 2016'!$AA$1986</f>
        <v>85302101</v>
      </c>
      <c r="AT34" s="24"/>
      <c r="AU34" s="24"/>
      <c r="AV34" s="24"/>
      <c r="AW34" s="25">
        <f t="shared" si="3"/>
        <v>0.11310055058242863</v>
      </c>
      <c r="AX34" s="24">
        <f t="shared" si="33"/>
        <v>23973953</v>
      </c>
      <c r="AY34" s="24">
        <f t="shared" si="43"/>
        <v>0</v>
      </c>
      <c r="AZ34" s="24">
        <f t="shared" si="34"/>
        <v>0</v>
      </c>
      <c r="BA34" s="24">
        <f t="shared" si="34"/>
        <v>0</v>
      </c>
      <c r="BB34" s="24">
        <f t="shared" si="44"/>
        <v>0</v>
      </c>
      <c r="BC34" s="24">
        <f t="shared" si="44"/>
        <v>0</v>
      </c>
      <c r="BD34" s="24">
        <f t="shared" si="44"/>
        <v>0</v>
      </c>
      <c r="BE34" s="24">
        <f t="shared" si="44"/>
        <v>0</v>
      </c>
      <c r="BF34" s="24">
        <f t="shared" si="44"/>
        <v>0</v>
      </c>
      <c r="BG34" s="24">
        <f t="shared" si="44"/>
        <v>0</v>
      </c>
      <c r="BH34" s="24">
        <f t="shared" si="44"/>
        <v>0</v>
      </c>
      <c r="BI34" s="24">
        <f t="shared" si="44"/>
        <v>0</v>
      </c>
      <c r="BJ34" s="24">
        <f t="shared" si="44"/>
        <v>0</v>
      </c>
      <c r="BK34" s="24"/>
      <c r="BL34" s="24">
        <f t="shared" si="44"/>
        <v>7305795</v>
      </c>
      <c r="BM34" s="24">
        <f t="shared" si="44"/>
        <v>0</v>
      </c>
      <c r="BN34" s="24">
        <f>+W34-AS34</f>
        <v>16668158</v>
      </c>
      <c r="BO34" s="24"/>
      <c r="BP34" s="24"/>
      <c r="BQ34" s="24">
        <f t="shared" si="45"/>
        <v>0</v>
      </c>
      <c r="BR34" s="25">
        <f t="shared" si="10"/>
        <v>0.88689944941757137</v>
      </c>
      <c r="BS34" s="24">
        <f t="shared" si="36"/>
        <v>187996306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+'[2]DICIEMBRE 2016'!$H$1990+'[2]DICIEMBRE 2016'!$H$2007+'[2]DICIEMBRE 2016'!$H$2021</f>
        <v>102694205</v>
      </c>
      <c r="CI34" s="24"/>
      <c r="CJ34" s="24">
        <f>+'[2]DICIEMBRE 2016'!$H$2026+'[2]DICIEMBRE 2016'!$H$2032+'[2]DICIEMBRE 2016'!$H$2041+'[2]DICIEMBRE 2016'!$H$2046</f>
        <v>85302101</v>
      </c>
      <c r="CK34" s="24"/>
      <c r="CL34" s="24"/>
      <c r="CM34" s="24"/>
      <c r="CN34" s="25">
        <f t="shared" si="12"/>
        <v>0.11310055058242863</v>
      </c>
      <c r="CO34" s="24">
        <f t="shared" si="37"/>
        <v>23973953</v>
      </c>
      <c r="CP34" s="24">
        <f t="shared" si="46"/>
        <v>0</v>
      </c>
      <c r="CQ34" s="24">
        <f t="shared" si="38"/>
        <v>0</v>
      </c>
      <c r="CR34" s="24">
        <f t="shared" si="38"/>
        <v>0</v>
      </c>
      <c r="CS34" s="24">
        <f t="shared" si="38"/>
        <v>0</v>
      </c>
      <c r="CT34" s="24">
        <f t="shared" si="38"/>
        <v>0</v>
      </c>
      <c r="CU34" s="24">
        <f t="shared" si="38"/>
        <v>0</v>
      </c>
      <c r="CV34" s="24">
        <f t="shared" si="47"/>
        <v>0</v>
      </c>
      <c r="CW34" s="24">
        <f t="shared" si="47"/>
        <v>0</v>
      </c>
      <c r="CX34" s="24">
        <f t="shared" si="47"/>
        <v>0</v>
      </c>
      <c r="CY34" s="24">
        <f t="shared" si="48"/>
        <v>0</v>
      </c>
      <c r="CZ34" s="24">
        <f t="shared" si="48"/>
        <v>0</v>
      </c>
      <c r="DA34" s="24">
        <f t="shared" si="48"/>
        <v>0</v>
      </c>
      <c r="DB34" s="24">
        <f t="shared" si="48"/>
        <v>0</v>
      </c>
      <c r="DC34" s="24">
        <f t="shared" si="48"/>
        <v>7305795</v>
      </c>
      <c r="DD34" s="24">
        <f t="shared" si="48"/>
        <v>0</v>
      </c>
      <c r="DE34" s="24">
        <f>W34-CJ34</f>
        <v>16668158</v>
      </c>
      <c r="DF34" s="24">
        <f t="shared" si="51"/>
        <v>0</v>
      </c>
      <c r="DG34" s="24">
        <f t="shared" si="51"/>
        <v>0</v>
      </c>
      <c r="DH34" s="24">
        <f t="shared" si="51"/>
        <v>0</v>
      </c>
      <c r="DJ34" s="194"/>
      <c r="DK34" s="194"/>
      <c r="DL34" s="198"/>
      <c r="DM34" s="199"/>
      <c r="DN34" s="200"/>
    </row>
    <row r="35" spans="1:118" ht="30" hidden="1" x14ac:dyDescent="0.25">
      <c r="A35" s="246" t="s">
        <v>87</v>
      </c>
      <c r="B35" s="239" t="s">
        <v>123</v>
      </c>
      <c r="C35" s="20" t="s">
        <v>124</v>
      </c>
      <c r="D35" s="21" t="s">
        <v>125</v>
      </c>
      <c r="E35" s="64">
        <v>410</v>
      </c>
      <c r="F35" s="23" t="s">
        <v>91</v>
      </c>
      <c r="G35" s="24">
        <f t="shared" si="31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0.95990130909090909</v>
      </c>
      <c r="AB35" s="24">
        <f t="shared" si="32"/>
        <v>52794572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+'[4]DICIEMBRE 2016'!$Y$2051</f>
        <v>52794572</v>
      </c>
      <c r="AR35" s="24"/>
      <c r="AS35" s="24"/>
      <c r="AT35" s="24"/>
      <c r="AU35" s="24"/>
      <c r="AV35" s="24"/>
      <c r="AW35" s="25">
        <f t="shared" si="3"/>
        <v>4.0098690909090906E-2</v>
      </c>
      <c r="AX35" s="24">
        <f t="shared" si="33"/>
        <v>2205428</v>
      </c>
      <c r="AY35" s="24">
        <f t="shared" si="43"/>
        <v>0</v>
      </c>
      <c r="AZ35" s="24">
        <f t="shared" si="34"/>
        <v>0</v>
      </c>
      <c r="BA35" s="24">
        <f t="shared" si="34"/>
        <v>0</v>
      </c>
      <c r="BB35" s="24">
        <f t="shared" si="44"/>
        <v>0</v>
      </c>
      <c r="BC35" s="24">
        <f t="shared" si="44"/>
        <v>0</v>
      </c>
      <c r="BD35" s="24">
        <f t="shared" si="44"/>
        <v>0</v>
      </c>
      <c r="BE35" s="24">
        <f t="shared" si="44"/>
        <v>0</v>
      </c>
      <c r="BF35" s="24">
        <f t="shared" si="44"/>
        <v>0</v>
      </c>
      <c r="BG35" s="24">
        <f t="shared" si="44"/>
        <v>0</v>
      </c>
      <c r="BH35" s="24">
        <f t="shared" si="44"/>
        <v>0</v>
      </c>
      <c r="BI35" s="24">
        <f t="shared" si="44"/>
        <v>0</v>
      </c>
      <c r="BJ35" s="24">
        <f t="shared" si="44"/>
        <v>0</v>
      </c>
      <c r="BK35" s="24">
        <f>+T35-AP35</f>
        <v>0</v>
      </c>
      <c r="BL35" s="24">
        <f t="shared" si="44"/>
        <v>2205428</v>
      </c>
      <c r="BM35" s="24">
        <f t="shared" si="44"/>
        <v>0</v>
      </c>
      <c r="BN35" s="24"/>
      <c r="BO35" s="24"/>
      <c r="BP35" s="24"/>
      <c r="BQ35" s="24">
        <f t="shared" si="45"/>
        <v>0</v>
      </c>
      <c r="BR35" s="25">
        <f t="shared" si="10"/>
        <v>0.95990130909090909</v>
      </c>
      <c r="BS35" s="24">
        <f t="shared" si="36"/>
        <v>52794572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+'[4]DICIEMBRE 2016'!$Y$2051</f>
        <v>52794572</v>
      </c>
      <c r="CI35" s="24"/>
      <c r="CJ35" s="24"/>
      <c r="CK35" s="24"/>
      <c r="CL35" s="24"/>
      <c r="CM35" s="24"/>
      <c r="CN35" s="25">
        <f t="shared" si="12"/>
        <v>4.0098690909090906E-2</v>
      </c>
      <c r="CO35" s="24">
        <f t="shared" si="37"/>
        <v>2205428</v>
      </c>
      <c r="CP35" s="24">
        <f t="shared" si="46"/>
        <v>0</v>
      </c>
      <c r="CQ35" s="24">
        <f t="shared" si="38"/>
        <v>0</v>
      </c>
      <c r="CR35" s="24">
        <f t="shared" si="38"/>
        <v>0</v>
      </c>
      <c r="CS35" s="24">
        <f t="shared" si="38"/>
        <v>0</v>
      </c>
      <c r="CT35" s="24">
        <f t="shared" si="38"/>
        <v>0</v>
      </c>
      <c r="CU35" s="24">
        <f t="shared" si="38"/>
        <v>0</v>
      </c>
      <c r="CV35" s="24">
        <f t="shared" si="47"/>
        <v>0</v>
      </c>
      <c r="CW35" s="24">
        <f t="shared" si="47"/>
        <v>0</v>
      </c>
      <c r="CX35" s="24">
        <f t="shared" si="47"/>
        <v>0</v>
      </c>
      <c r="CY35" s="24">
        <f t="shared" si="48"/>
        <v>0</v>
      </c>
      <c r="CZ35" s="24">
        <f t="shared" si="48"/>
        <v>0</v>
      </c>
      <c r="DA35" s="24">
        <f t="shared" si="48"/>
        <v>0</v>
      </c>
      <c r="DB35" s="24">
        <f t="shared" ref="DB35:DD37" si="52">+T35-CG35</f>
        <v>0</v>
      </c>
      <c r="DC35" s="24">
        <f t="shared" si="52"/>
        <v>2205428</v>
      </c>
      <c r="DD35" s="24">
        <f t="shared" si="52"/>
        <v>0</v>
      </c>
      <c r="DE35" s="24"/>
      <c r="DF35" s="24">
        <f>+X35-CK35</f>
        <v>0</v>
      </c>
      <c r="DG35" s="24">
        <f t="shared" si="51"/>
        <v>0</v>
      </c>
      <c r="DH35" s="24">
        <f>+Z35-CM35</f>
        <v>0</v>
      </c>
      <c r="DJ35" s="194"/>
      <c r="DK35" s="194"/>
      <c r="DL35" s="198"/>
      <c r="DM35" s="199"/>
      <c r="DN35" s="200"/>
    </row>
    <row r="36" spans="1:118" ht="31.5" hidden="1" customHeight="1" x14ac:dyDescent="0.25">
      <c r="A36" s="246"/>
      <c r="B36" s="240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1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0.9867871509433962</v>
      </c>
      <c r="AB36" s="24">
        <f t="shared" si="32"/>
        <v>52299719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+'[4]DICIEMBRE 2016'!$Y$2119</f>
        <v>49999719</v>
      </c>
      <c r="AR36" s="24"/>
      <c r="AS36" s="24"/>
      <c r="AT36" s="24"/>
      <c r="AU36" s="24"/>
      <c r="AV36" s="24">
        <f>+'[2]DICIEMBRE 2016'!$AG$2122</f>
        <v>2300000</v>
      </c>
      <c r="AW36" s="25">
        <f t="shared" si="3"/>
        <v>1.3212849056603804E-2</v>
      </c>
      <c r="AX36" s="24">
        <f t="shared" si="33"/>
        <v>700281</v>
      </c>
      <c r="AY36" s="24">
        <f t="shared" si="43"/>
        <v>0</v>
      </c>
      <c r="AZ36" s="24">
        <f t="shared" si="34"/>
        <v>0</v>
      </c>
      <c r="BA36" s="24">
        <f t="shared" si="34"/>
        <v>0</v>
      </c>
      <c r="BB36" s="24">
        <f t="shared" si="44"/>
        <v>0</v>
      </c>
      <c r="BC36" s="24">
        <f t="shared" si="44"/>
        <v>0</v>
      </c>
      <c r="BD36" s="24">
        <f t="shared" si="44"/>
        <v>0</v>
      </c>
      <c r="BE36" s="24">
        <f t="shared" si="44"/>
        <v>0</v>
      </c>
      <c r="BF36" s="24">
        <f t="shared" si="44"/>
        <v>0</v>
      </c>
      <c r="BG36" s="24">
        <f t="shared" si="44"/>
        <v>0</v>
      </c>
      <c r="BH36" s="24">
        <f t="shared" si="44"/>
        <v>0</v>
      </c>
      <c r="BI36" s="24">
        <f t="shared" si="44"/>
        <v>0</v>
      </c>
      <c r="BJ36" s="24">
        <f t="shared" si="44"/>
        <v>0</v>
      </c>
      <c r="BK36" s="24">
        <f>+T36-AP36</f>
        <v>0</v>
      </c>
      <c r="BL36" s="24">
        <f t="shared" si="44"/>
        <v>281</v>
      </c>
      <c r="BM36" s="24">
        <f t="shared" si="44"/>
        <v>0</v>
      </c>
      <c r="BN36" s="24"/>
      <c r="BO36" s="24"/>
      <c r="BP36" s="24"/>
      <c r="BQ36" s="24">
        <f t="shared" si="45"/>
        <v>700000</v>
      </c>
      <c r="BR36" s="25">
        <f t="shared" si="10"/>
        <v>0.9867871509433962</v>
      </c>
      <c r="BS36" s="24">
        <f t="shared" si="36"/>
        <v>52299719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+'[4]DICIEMBRE 2016'!$Y$2119</f>
        <v>49999719</v>
      </c>
      <c r="CI36" s="24"/>
      <c r="CJ36" s="24"/>
      <c r="CK36" s="24"/>
      <c r="CL36" s="24"/>
      <c r="CM36" s="24">
        <f>+'[2]DICIEMBRE 2016'!$AG$2122</f>
        <v>2300000</v>
      </c>
      <c r="CN36" s="25">
        <f t="shared" si="12"/>
        <v>1.3212849056603804E-2</v>
      </c>
      <c r="CO36" s="24">
        <f t="shared" si="37"/>
        <v>700281</v>
      </c>
      <c r="CP36" s="24">
        <f t="shared" si="46"/>
        <v>0</v>
      </c>
      <c r="CQ36" s="24">
        <f t="shared" si="38"/>
        <v>0</v>
      </c>
      <c r="CR36" s="24">
        <f t="shared" si="38"/>
        <v>0</v>
      </c>
      <c r="CS36" s="24">
        <f t="shared" si="38"/>
        <v>0</v>
      </c>
      <c r="CT36" s="24">
        <f t="shared" si="38"/>
        <v>0</v>
      </c>
      <c r="CU36" s="24">
        <f t="shared" si="38"/>
        <v>0</v>
      </c>
      <c r="CV36" s="24">
        <f t="shared" si="47"/>
        <v>0</v>
      </c>
      <c r="CW36" s="24">
        <f t="shared" si="47"/>
        <v>0</v>
      </c>
      <c r="CX36" s="24">
        <f t="shared" si="47"/>
        <v>0</v>
      </c>
      <c r="CY36" s="24">
        <f t="shared" si="48"/>
        <v>0</v>
      </c>
      <c r="CZ36" s="24">
        <f t="shared" si="48"/>
        <v>0</v>
      </c>
      <c r="DA36" s="24">
        <f t="shared" si="48"/>
        <v>0</v>
      </c>
      <c r="DB36" s="24">
        <f t="shared" si="52"/>
        <v>0</v>
      </c>
      <c r="DC36" s="24">
        <f t="shared" si="52"/>
        <v>281</v>
      </c>
      <c r="DD36" s="24">
        <f t="shared" si="52"/>
        <v>0</v>
      </c>
      <c r="DE36" s="24"/>
      <c r="DF36" s="24">
        <f>+X36-CK36</f>
        <v>0</v>
      </c>
      <c r="DG36" s="24">
        <f t="shared" si="51"/>
        <v>0</v>
      </c>
      <c r="DH36" s="24">
        <f>+Z36-CM36</f>
        <v>700000</v>
      </c>
      <c r="DJ36" s="194"/>
      <c r="DK36" s="194"/>
      <c r="DL36" s="198"/>
      <c r="DM36" s="199"/>
      <c r="DN36" s="200"/>
    </row>
    <row r="37" spans="1:118" ht="18" hidden="1" customHeight="1" x14ac:dyDescent="0.25">
      <c r="A37" s="246"/>
      <c r="B37" s="240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1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0.8322222222222222</v>
      </c>
      <c r="AB37" s="24">
        <f t="shared" si="32"/>
        <v>28956340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+'[2]DICIEMBRE 2016'!$Y$2200</f>
        <v>28956340</v>
      </c>
      <c r="AR37" s="24"/>
      <c r="AS37" s="24"/>
      <c r="AT37" s="24"/>
      <c r="AU37" s="24"/>
      <c r="AV37" s="24"/>
      <c r="AW37" s="25">
        <f t="shared" si="3"/>
        <v>0.1677777777777778</v>
      </c>
      <c r="AX37" s="24">
        <f t="shared" si="33"/>
        <v>5837660</v>
      </c>
      <c r="AY37" s="24">
        <f t="shared" si="43"/>
        <v>0</v>
      </c>
      <c r="AZ37" s="24">
        <f t="shared" si="43"/>
        <v>0</v>
      </c>
      <c r="BA37" s="24">
        <f t="shared" si="43"/>
        <v>0</v>
      </c>
      <c r="BB37" s="24">
        <f t="shared" si="44"/>
        <v>0</v>
      </c>
      <c r="BC37" s="24">
        <f t="shared" si="44"/>
        <v>0</v>
      </c>
      <c r="BD37" s="24">
        <f t="shared" si="44"/>
        <v>0</v>
      </c>
      <c r="BE37" s="24">
        <f t="shared" si="44"/>
        <v>0</v>
      </c>
      <c r="BF37" s="24">
        <f t="shared" si="44"/>
        <v>0</v>
      </c>
      <c r="BG37" s="24">
        <f t="shared" si="44"/>
        <v>0</v>
      </c>
      <c r="BH37" s="24">
        <f t="shared" si="44"/>
        <v>0</v>
      </c>
      <c r="BI37" s="24">
        <f t="shared" si="44"/>
        <v>0</v>
      </c>
      <c r="BJ37" s="24">
        <f t="shared" si="44"/>
        <v>0</v>
      </c>
      <c r="BK37" s="24">
        <f>+T37-AP37</f>
        <v>0</v>
      </c>
      <c r="BL37" s="24">
        <f t="shared" si="44"/>
        <v>5837660</v>
      </c>
      <c r="BM37" s="24">
        <f t="shared" si="44"/>
        <v>0</v>
      </c>
      <c r="BN37" s="24"/>
      <c r="BO37" s="24"/>
      <c r="BP37" s="24"/>
      <c r="BQ37" s="24">
        <f t="shared" si="45"/>
        <v>0</v>
      </c>
      <c r="BR37" s="25">
        <f t="shared" si="10"/>
        <v>0.8322222222222222</v>
      </c>
      <c r="BS37" s="24">
        <f t="shared" si="36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+'[10]SEPTIEMBRE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37"/>
        <v>5837660</v>
      </c>
      <c r="CP37" s="24">
        <f t="shared" si="46"/>
        <v>0</v>
      </c>
      <c r="CQ37" s="24">
        <f t="shared" si="46"/>
        <v>0</v>
      </c>
      <c r="CR37" s="24">
        <f t="shared" si="46"/>
        <v>0</v>
      </c>
      <c r="CS37" s="24">
        <f t="shared" si="46"/>
        <v>0</v>
      </c>
      <c r="CT37" s="24">
        <f t="shared" si="46"/>
        <v>0</v>
      </c>
      <c r="CU37" s="24">
        <f t="shared" si="46"/>
        <v>0</v>
      </c>
      <c r="CV37" s="24">
        <f t="shared" si="47"/>
        <v>0</v>
      </c>
      <c r="CW37" s="24">
        <f t="shared" si="47"/>
        <v>0</v>
      </c>
      <c r="CX37" s="24">
        <f t="shared" si="47"/>
        <v>0</v>
      </c>
      <c r="CY37" s="24">
        <f t="shared" si="48"/>
        <v>0</v>
      </c>
      <c r="CZ37" s="24">
        <f t="shared" si="48"/>
        <v>0</v>
      </c>
      <c r="DA37" s="24">
        <f t="shared" si="48"/>
        <v>0</v>
      </c>
      <c r="DB37" s="24">
        <f t="shared" si="52"/>
        <v>0</v>
      </c>
      <c r="DC37" s="24">
        <f t="shared" si="52"/>
        <v>5837660</v>
      </c>
      <c r="DD37" s="24">
        <f t="shared" si="52"/>
        <v>0</v>
      </c>
      <c r="DE37" s="24"/>
      <c r="DF37" s="24">
        <f>+X37-CK37</f>
        <v>0</v>
      </c>
      <c r="DG37" s="24">
        <f t="shared" si="51"/>
        <v>0</v>
      </c>
      <c r="DH37" s="24">
        <f>+Z37-CM37</f>
        <v>0</v>
      </c>
      <c r="DJ37" s="194"/>
      <c r="DK37" s="194"/>
      <c r="DL37" s="198"/>
      <c r="DM37" s="199"/>
      <c r="DN37" s="200"/>
    </row>
    <row r="38" spans="1:118" hidden="1" x14ac:dyDescent="0.25">
      <c r="A38" s="246"/>
      <c r="B38" s="241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1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2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+'[11]JUNIO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3"/>
        <v>0</v>
      </c>
      <c r="AY38" s="24">
        <f t="shared" si="43"/>
        <v>0</v>
      </c>
      <c r="AZ38" s="24">
        <f t="shared" si="43"/>
        <v>0</v>
      </c>
      <c r="BA38" s="24">
        <f t="shared" si="43"/>
        <v>0</v>
      </c>
      <c r="BB38" s="24">
        <f t="shared" si="43"/>
        <v>0</v>
      </c>
      <c r="BC38" s="24">
        <f t="shared" si="43"/>
        <v>0</v>
      </c>
      <c r="BD38" s="24">
        <f t="shared" si="43"/>
        <v>0</v>
      </c>
      <c r="BE38" s="24">
        <f t="shared" si="43"/>
        <v>0</v>
      </c>
      <c r="BF38" s="24">
        <f t="shared" si="43"/>
        <v>0</v>
      </c>
      <c r="BG38" s="24">
        <f t="shared" si="43"/>
        <v>0</v>
      </c>
      <c r="BH38" s="24">
        <f t="shared" si="43"/>
        <v>0</v>
      </c>
      <c r="BI38" s="24">
        <f t="shared" si="43"/>
        <v>0</v>
      </c>
      <c r="BJ38" s="24">
        <f t="shared" si="43"/>
        <v>0</v>
      </c>
      <c r="BK38" s="24">
        <f t="shared" si="43"/>
        <v>0</v>
      </c>
      <c r="BL38" s="24">
        <f t="shared" si="43"/>
        <v>0</v>
      </c>
      <c r="BM38" s="24">
        <f t="shared" si="43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6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+'[11]JUNIO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37"/>
        <v>0</v>
      </c>
      <c r="CP38" s="24">
        <f t="shared" si="46"/>
        <v>0</v>
      </c>
      <c r="CQ38" s="24">
        <f t="shared" si="46"/>
        <v>0</v>
      </c>
      <c r="CR38" s="24">
        <f t="shared" si="46"/>
        <v>0</v>
      </c>
      <c r="CS38" s="24">
        <f t="shared" si="46"/>
        <v>0</v>
      </c>
      <c r="CT38" s="24">
        <f t="shared" si="46"/>
        <v>0</v>
      </c>
      <c r="CU38" s="24">
        <f t="shared" si="46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48"/>
        <v>0</v>
      </c>
      <c r="CZ38" s="24">
        <f t="shared" si="48"/>
        <v>0</v>
      </c>
      <c r="DA38" s="24">
        <f t="shared" si="48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1"/>
        <v>0</v>
      </c>
      <c r="DH38" s="24">
        <f>Z38-CM38</f>
        <v>0</v>
      </c>
      <c r="DJ38" s="194"/>
      <c r="DK38" s="194"/>
      <c r="DL38" s="198"/>
      <c r="DM38" s="199"/>
      <c r="DN38" s="200"/>
    </row>
    <row r="39" spans="1:118" ht="33.75" hidden="1" customHeight="1" x14ac:dyDescent="0.25">
      <c r="A39" s="246"/>
      <c r="B39" s="239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1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0.99391327857142853</v>
      </c>
      <c r="AB39" s="24">
        <f t="shared" si="32"/>
        <v>278295718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+'[4]DICIEMBRE 2016'!$W$2234</f>
        <v>278295718</v>
      </c>
      <c r="AP39" s="24"/>
      <c r="AQ39" s="24"/>
      <c r="AR39" s="24"/>
      <c r="AS39" s="24"/>
      <c r="AT39" s="24"/>
      <c r="AU39" s="24"/>
      <c r="AV39" s="24"/>
      <c r="AW39" s="25">
        <f t="shared" si="3"/>
        <v>6.0867214285714732E-3</v>
      </c>
      <c r="AX39" s="24">
        <f t="shared" si="33"/>
        <v>1704282</v>
      </c>
      <c r="AY39" s="24">
        <f t="shared" si="43"/>
        <v>0</v>
      </c>
      <c r="AZ39" s="24">
        <f t="shared" si="43"/>
        <v>0</v>
      </c>
      <c r="BA39" s="24">
        <f t="shared" si="43"/>
        <v>0</v>
      </c>
      <c r="BB39" s="24">
        <f t="shared" ref="BB39:BM54" si="53">+K39-AG39</f>
        <v>0</v>
      </c>
      <c r="BC39" s="24">
        <f t="shared" si="53"/>
        <v>0</v>
      </c>
      <c r="BD39" s="24">
        <f t="shared" si="53"/>
        <v>0</v>
      </c>
      <c r="BE39" s="24">
        <f t="shared" si="53"/>
        <v>0</v>
      </c>
      <c r="BF39" s="24">
        <f t="shared" si="53"/>
        <v>0</v>
      </c>
      <c r="BG39" s="24">
        <f t="shared" si="53"/>
        <v>0</v>
      </c>
      <c r="BH39" s="24">
        <f t="shared" si="53"/>
        <v>0</v>
      </c>
      <c r="BI39" s="24">
        <f t="shared" si="53"/>
        <v>0</v>
      </c>
      <c r="BJ39" s="24">
        <f t="shared" si="53"/>
        <v>1704282</v>
      </c>
      <c r="BK39" s="24">
        <f t="shared" si="53"/>
        <v>0</v>
      </c>
      <c r="BL39" s="24">
        <f t="shared" si="53"/>
        <v>0</v>
      </c>
      <c r="BM39" s="24">
        <f t="shared" si="53"/>
        <v>0</v>
      </c>
      <c r="BN39" s="24"/>
      <c r="BO39" s="24"/>
      <c r="BP39" s="24">
        <f t="shared" ref="BP39:BP59" si="54">Y39-AU39</f>
        <v>0</v>
      </c>
      <c r="BQ39" s="24">
        <f t="shared" ref="BQ39:BQ59" si="55">+Z39-AV39</f>
        <v>0</v>
      </c>
      <c r="BR39" s="25">
        <f t="shared" si="10"/>
        <v>0.99391327857142853</v>
      </c>
      <c r="BS39" s="24">
        <f t="shared" si="36"/>
        <v>278295718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+'[4]DICIEMBRE 2016'!$W$2234</f>
        <v>278295718</v>
      </c>
      <c r="CG39" s="24"/>
      <c r="CH39" s="24"/>
      <c r="CI39" s="24"/>
      <c r="CJ39" s="24"/>
      <c r="CK39" s="24"/>
      <c r="CL39" s="24"/>
      <c r="CM39" s="24"/>
      <c r="CN39" s="25">
        <f t="shared" si="12"/>
        <v>6.0867214285714732E-3</v>
      </c>
      <c r="CO39" s="24">
        <f t="shared" si="37"/>
        <v>1704282</v>
      </c>
      <c r="CP39" s="24">
        <f t="shared" si="46"/>
        <v>0</v>
      </c>
      <c r="CQ39" s="24">
        <f t="shared" si="46"/>
        <v>0</v>
      </c>
      <c r="CR39" s="24">
        <f t="shared" si="46"/>
        <v>0</v>
      </c>
      <c r="CS39" s="24">
        <f t="shared" si="46"/>
        <v>0</v>
      </c>
      <c r="CT39" s="24">
        <f t="shared" si="46"/>
        <v>0</v>
      </c>
      <c r="CU39" s="24">
        <f t="shared" si="46"/>
        <v>0</v>
      </c>
      <c r="CV39" s="24">
        <f t="shared" ref="CV39:DA50" si="56">+N39-CA39</f>
        <v>0</v>
      </c>
      <c r="CW39" s="24">
        <f t="shared" si="56"/>
        <v>0</v>
      </c>
      <c r="CX39" s="24">
        <f t="shared" si="56"/>
        <v>0</v>
      </c>
      <c r="CY39" s="24">
        <f t="shared" si="48"/>
        <v>0</v>
      </c>
      <c r="CZ39" s="24">
        <f t="shared" si="48"/>
        <v>0</v>
      </c>
      <c r="DA39" s="24">
        <f t="shared" si="48"/>
        <v>1704282</v>
      </c>
      <c r="DB39" s="24">
        <f t="shared" ref="DB39:DD50" si="57">+T39-CG39</f>
        <v>0</v>
      </c>
      <c r="DC39" s="24">
        <f t="shared" si="57"/>
        <v>0</v>
      </c>
      <c r="DD39" s="24">
        <f t="shared" si="57"/>
        <v>0</v>
      </c>
      <c r="DE39" s="24"/>
      <c r="DF39" s="24">
        <f t="shared" ref="DF39:DF50" si="58">+X39-CK39</f>
        <v>0</v>
      </c>
      <c r="DG39" s="24">
        <f t="shared" si="51"/>
        <v>0</v>
      </c>
      <c r="DH39" s="24">
        <f t="shared" ref="DH39:DH50" si="59">+Z39-CM39</f>
        <v>0</v>
      </c>
      <c r="DJ39" s="194"/>
      <c r="DK39" s="194"/>
      <c r="DL39" s="198"/>
      <c r="DM39" s="199"/>
      <c r="DN39" s="200"/>
    </row>
    <row r="40" spans="1:118" ht="42" hidden="1" customHeight="1" x14ac:dyDescent="0.25">
      <c r="A40" s="246"/>
      <c r="B40" s="240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1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0.88728569207025232</v>
      </c>
      <c r="AB40" s="24">
        <f t="shared" si="32"/>
        <v>158493357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+'[11]JUNIO 2016'!$W$1028</f>
        <v>7654735</v>
      </c>
      <c r="AP40" s="24"/>
      <c r="AQ40" s="24">
        <f>+'[4]DICIEMBRE 2016'!$Y$2387</f>
        <v>128485707</v>
      </c>
      <c r="AR40" s="24"/>
      <c r="AS40" s="24"/>
      <c r="AT40" s="24"/>
      <c r="AU40" s="24"/>
      <c r="AV40" s="24">
        <f>+'[4]DICIEMBRE 2016'!$AG$2387</f>
        <v>22352915</v>
      </c>
      <c r="AW40" s="25">
        <f t="shared" si="3"/>
        <v>0.11271430792974768</v>
      </c>
      <c r="AX40" s="24">
        <f t="shared" si="33"/>
        <v>20133841</v>
      </c>
      <c r="AY40" s="24">
        <f t="shared" si="43"/>
        <v>0</v>
      </c>
      <c r="AZ40" s="24">
        <f t="shared" si="43"/>
        <v>0</v>
      </c>
      <c r="BA40" s="24">
        <f t="shared" si="43"/>
        <v>0</v>
      </c>
      <c r="BB40" s="24">
        <f t="shared" si="53"/>
        <v>0</v>
      </c>
      <c r="BC40" s="24">
        <f t="shared" si="53"/>
        <v>0</v>
      </c>
      <c r="BD40" s="24">
        <f t="shared" si="53"/>
        <v>0</v>
      </c>
      <c r="BE40" s="24">
        <f t="shared" si="53"/>
        <v>0</v>
      </c>
      <c r="BF40" s="24">
        <f t="shared" si="53"/>
        <v>0</v>
      </c>
      <c r="BG40" s="24">
        <f t="shared" si="53"/>
        <v>0</v>
      </c>
      <c r="BH40" s="24">
        <f t="shared" si="53"/>
        <v>0</v>
      </c>
      <c r="BI40" s="24">
        <f t="shared" si="53"/>
        <v>0</v>
      </c>
      <c r="BJ40" s="24">
        <f t="shared" si="53"/>
        <v>42000</v>
      </c>
      <c r="BK40" s="24">
        <f t="shared" si="53"/>
        <v>0</v>
      </c>
      <c r="BL40" s="24">
        <f t="shared" si="53"/>
        <v>19444756</v>
      </c>
      <c r="BM40" s="24">
        <f t="shared" si="53"/>
        <v>0</v>
      </c>
      <c r="BN40" s="24"/>
      <c r="BO40" s="24"/>
      <c r="BP40" s="24">
        <f t="shared" si="54"/>
        <v>0</v>
      </c>
      <c r="BQ40" s="24">
        <f t="shared" si="55"/>
        <v>647085</v>
      </c>
      <c r="BR40" s="25">
        <f t="shared" si="10"/>
        <v>0.88728569207025232</v>
      </c>
      <c r="BS40" s="24">
        <f t="shared" si="36"/>
        <v>158493357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+'[2]DICIEMBRE 2016'!$H$2388+'[2]DICIEMBRE 2016'!$H$2391+'[2]DICIEMBRE 2016'!$H$2393+'[2]DICIEMBRE 2016'!$W$2395</f>
        <v>7654735</v>
      </c>
      <c r="CG40" s="24"/>
      <c r="CH40" s="24">
        <f>+'[4]DICIEMBRE 2016'!$Y$2387</f>
        <v>128485707</v>
      </c>
      <c r="CI40" s="24"/>
      <c r="CJ40" s="24"/>
      <c r="CK40" s="24"/>
      <c r="CL40" s="24"/>
      <c r="CM40" s="24">
        <f>+'[4]DICIEMBRE 2016'!$AG$2387</f>
        <v>22352915</v>
      </c>
      <c r="CN40" s="25">
        <f t="shared" si="12"/>
        <v>0.11271430792974768</v>
      </c>
      <c r="CO40" s="24">
        <f t="shared" si="37"/>
        <v>20133841</v>
      </c>
      <c r="CP40" s="24">
        <f t="shared" si="46"/>
        <v>0</v>
      </c>
      <c r="CQ40" s="24">
        <f t="shared" si="46"/>
        <v>0</v>
      </c>
      <c r="CR40" s="24">
        <f t="shared" si="46"/>
        <v>0</v>
      </c>
      <c r="CS40" s="24">
        <f t="shared" si="46"/>
        <v>0</v>
      </c>
      <c r="CT40" s="24">
        <f t="shared" si="46"/>
        <v>0</v>
      </c>
      <c r="CU40" s="24">
        <f t="shared" si="46"/>
        <v>0</v>
      </c>
      <c r="CV40" s="24">
        <f t="shared" si="56"/>
        <v>0</v>
      </c>
      <c r="CW40" s="24">
        <f t="shared" si="56"/>
        <v>0</v>
      </c>
      <c r="CX40" s="24">
        <f t="shared" si="56"/>
        <v>0</v>
      </c>
      <c r="CY40" s="24">
        <f t="shared" si="48"/>
        <v>0</v>
      </c>
      <c r="CZ40" s="24">
        <f t="shared" si="48"/>
        <v>0</v>
      </c>
      <c r="DA40" s="24">
        <f t="shared" si="48"/>
        <v>42000</v>
      </c>
      <c r="DB40" s="24">
        <f t="shared" si="57"/>
        <v>0</v>
      </c>
      <c r="DC40" s="24">
        <f t="shared" si="57"/>
        <v>19444756</v>
      </c>
      <c r="DD40" s="24">
        <f t="shared" si="57"/>
        <v>0</v>
      </c>
      <c r="DE40" s="24"/>
      <c r="DF40" s="24">
        <f t="shared" si="58"/>
        <v>0</v>
      </c>
      <c r="DG40" s="24">
        <f t="shared" si="51"/>
        <v>0</v>
      </c>
      <c r="DH40" s="24">
        <f t="shared" si="59"/>
        <v>647085</v>
      </c>
      <c r="DJ40" s="194"/>
      <c r="DK40" s="194"/>
      <c r="DL40" s="198"/>
      <c r="DM40" s="199"/>
      <c r="DN40" s="200"/>
    </row>
    <row r="41" spans="1:118" ht="38.25" hidden="1" customHeight="1" x14ac:dyDescent="0.25">
      <c r="A41" s="246"/>
      <c r="B41" s="240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1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2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+'[3]ENERO 2016'!$W$352</f>
        <v>100000000</v>
      </c>
      <c r="AP41" s="24"/>
      <c r="AQ41" s="24"/>
      <c r="AR41" s="24"/>
      <c r="AS41" s="24"/>
      <c r="AT41" s="24"/>
      <c r="AU41" s="24">
        <f>+'[11]JUNIO 2016'!$AF$1063</f>
        <v>9580000</v>
      </c>
      <c r="AV41" s="24"/>
      <c r="AW41" s="25">
        <f t="shared" si="3"/>
        <v>0.45209999999999995</v>
      </c>
      <c r="AX41" s="24">
        <f t="shared" si="33"/>
        <v>90420000</v>
      </c>
      <c r="AY41" s="24">
        <f t="shared" si="43"/>
        <v>0</v>
      </c>
      <c r="AZ41" s="24">
        <f t="shared" si="43"/>
        <v>0</v>
      </c>
      <c r="BA41" s="24">
        <f t="shared" si="43"/>
        <v>0</v>
      </c>
      <c r="BB41" s="24">
        <f t="shared" si="53"/>
        <v>0</v>
      </c>
      <c r="BC41" s="24">
        <f t="shared" si="53"/>
        <v>0</v>
      </c>
      <c r="BD41" s="24">
        <f t="shared" si="53"/>
        <v>0</v>
      </c>
      <c r="BE41" s="24">
        <f t="shared" si="53"/>
        <v>0</v>
      </c>
      <c r="BF41" s="24">
        <f t="shared" si="53"/>
        <v>0</v>
      </c>
      <c r="BG41" s="24">
        <f t="shared" si="53"/>
        <v>0</v>
      </c>
      <c r="BH41" s="24">
        <f t="shared" si="53"/>
        <v>0</v>
      </c>
      <c r="BI41" s="24">
        <f t="shared" si="53"/>
        <v>0</v>
      </c>
      <c r="BJ41" s="24">
        <f t="shared" si="53"/>
        <v>0</v>
      </c>
      <c r="BK41" s="24">
        <f t="shared" si="53"/>
        <v>0</v>
      </c>
      <c r="BL41" s="24">
        <f t="shared" si="53"/>
        <v>0</v>
      </c>
      <c r="BM41" s="24">
        <f t="shared" si="53"/>
        <v>0</v>
      </c>
      <c r="BN41" s="24"/>
      <c r="BO41" s="24"/>
      <c r="BP41" s="24">
        <f t="shared" si="54"/>
        <v>90420000</v>
      </c>
      <c r="BQ41" s="24">
        <f t="shared" si="55"/>
        <v>0</v>
      </c>
      <c r="BR41" s="25">
        <f t="shared" si="10"/>
        <v>0.54790000000000005</v>
      </c>
      <c r="BS41" s="24">
        <f t="shared" si="36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+'[12]MARZO 2016 ULTIMO'!$H$622</f>
        <v>100000000</v>
      </c>
      <c r="CG41" s="24"/>
      <c r="CH41" s="24"/>
      <c r="CI41" s="24"/>
      <c r="CJ41" s="24"/>
      <c r="CK41" s="24"/>
      <c r="CL41" s="24">
        <f>+'[11]JUNIO 2016'!$AF$1063</f>
        <v>9580000</v>
      </c>
      <c r="CM41" s="24"/>
      <c r="CN41" s="25">
        <f t="shared" si="12"/>
        <v>0.45209999999999995</v>
      </c>
      <c r="CO41" s="24">
        <f t="shared" si="37"/>
        <v>90420000</v>
      </c>
      <c r="CP41" s="24">
        <f t="shared" si="46"/>
        <v>0</v>
      </c>
      <c r="CQ41" s="24">
        <f t="shared" si="46"/>
        <v>0</v>
      </c>
      <c r="CR41" s="24">
        <f t="shared" si="46"/>
        <v>0</v>
      </c>
      <c r="CS41" s="24">
        <f t="shared" si="46"/>
        <v>0</v>
      </c>
      <c r="CT41" s="24">
        <f t="shared" si="46"/>
        <v>0</v>
      </c>
      <c r="CU41" s="24">
        <f t="shared" si="46"/>
        <v>0</v>
      </c>
      <c r="CV41" s="24">
        <f t="shared" si="56"/>
        <v>0</v>
      </c>
      <c r="CW41" s="24">
        <f t="shared" si="56"/>
        <v>0</v>
      </c>
      <c r="CX41" s="24">
        <f t="shared" si="56"/>
        <v>0</v>
      </c>
      <c r="CY41" s="24">
        <f t="shared" si="48"/>
        <v>0</v>
      </c>
      <c r="CZ41" s="24">
        <f t="shared" si="48"/>
        <v>0</v>
      </c>
      <c r="DA41" s="24">
        <f t="shared" si="48"/>
        <v>0</v>
      </c>
      <c r="DB41" s="24">
        <f t="shared" si="57"/>
        <v>0</v>
      </c>
      <c r="DC41" s="24">
        <f t="shared" si="57"/>
        <v>0</v>
      </c>
      <c r="DD41" s="24">
        <f t="shared" si="57"/>
        <v>0</v>
      </c>
      <c r="DE41" s="24"/>
      <c r="DF41" s="24">
        <f t="shared" si="58"/>
        <v>0</v>
      </c>
      <c r="DG41" s="24">
        <f t="shared" si="51"/>
        <v>90420000</v>
      </c>
      <c r="DH41" s="24">
        <f t="shared" si="59"/>
        <v>0</v>
      </c>
      <c r="DJ41" s="194"/>
      <c r="DK41" s="194"/>
      <c r="DL41" s="198"/>
      <c r="DM41" s="199"/>
      <c r="DN41" s="200"/>
    </row>
    <row r="42" spans="1:118" ht="33.75" hidden="1" customHeight="1" x14ac:dyDescent="0.25">
      <c r="A42" s="246"/>
      <c r="B42" s="241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1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2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3"/>
        <v>0</v>
      </c>
      <c r="AY42" s="24">
        <f t="shared" si="43"/>
        <v>0</v>
      </c>
      <c r="AZ42" s="24">
        <f t="shared" si="43"/>
        <v>0</v>
      </c>
      <c r="BA42" s="24">
        <f t="shared" si="43"/>
        <v>0</v>
      </c>
      <c r="BB42" s="24">
        <f t="shared" si="53"/>
        <v>0</v>
      </c>
      <c r="BC42" s="24">
        <f t="shared" si="53"/>
        <v>0</v>
      </c>
      <c r="BD42" s="24">
        <f t="shared" si="53"/>
        <v>0</v>
      </c>
      <c r="BE42" s="24">
        <f t="shared" si="53"/>
        <v>0</v>
      </c>
      <c r="BF42" s="24">
        <f t="shared" si="53"/>
        <v>0</v>
      </c>
      <c r="BG42" s="24">
        <f t="shared" si="53"/>
        <v>0</v>
      </c>
      <c r="BH42" s="24">
        <f t="shared" si="53"/>
        <v>0</v>
      </c>
      <c r="BI42" s="24">
        <f t="shared" si="53"/>
        <v>0</v>
      </c>
      <c r="BJ42" s="24">
        <f t="shared" si="53"/>
        <v>0</v>
      </c>
      <c r="BK42" s="24">
        <f t="shared" si="53"/>
        <v>0</v>
      </c>
      <c r="BL42" s="24">
        <f t="shared" si="53"/>
        <v>0</v>
      </c>
      <c r="BM42" s="24">
        <f t="shared" si="53"/>
        <v>0</v>
      </c>
      <c r="BN42" s="24"/>
      <c r="BO42" s="24"/>
      <c r="BP42" s="24">
        <f t="shared" si="54"/>
        <v>0</v>
      </c>
      <c r="BQ42" s="24">
        <f t="shared" si="55"/>
        <v>0</v>
      </c>
      <c r="BR42" s="25" t="e">
        <f t="shared" si="10"/>
        <v>#DIV/0!</v>
      </c>
      <c r="BS42" s="24">
        <f t="shared" si="36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37"/>
        <v>0</v>
      </c>
      <c r="CP42" s="24">
        <f t="shared" si="46"/>
        <v>0</v>
      </c>
      <c r="CQ42" s="24">
        <f t="shared" si="46"/>
        <v>0</v>
      </c>
      <c r="CR42" s="24">
        <f t="shared" si="46"/>
        <v>0</v>
      </c>
      <c r="CS42" s="24">
        <f t="shared" si="46"/>
        <v>0</v>
      </c>
      <c r="CT42" s="24">
        <f t="shared" si="46"/>
        <v>0</v>
      </c>
      <c r="CU42" s="24">
        <f t="shared" si="46"/>
        <v>0</v>
      </c>
      <c r="CV42" s="24">
        <f t="shared" si="56"/>
        <v>0</v>
      </c>
      <c r="CW42" s="24">
        <f t="shared" si="56"/>
        <v>0</v>
      </c>
      <c r="CX42" s="24">
        <f t="shared" si="56"/>
        <v>0</v>
      </c>
      <c r="CY42" s="24">
        <f t="shared" si="48"/>
        <v>0</v>
      </c>
      <c r="CZ42" s="24">
        <f t="shared" si="48"/>
        <v>0</v>
      </c>
      <c r="DA42" s="24">
        <f t="shared" si="48"/>
        <v>0</v>
      </c>
      <c r="DB42" s="24">
        <f t="shared" si="57"/>
        <v>0</v>
      </c>
      <c r="DC42" s="24">
        <f t="shared" si="57"/>
        <v>0</v>
      </c>
      <c r="DD42" s="24">
        <f t="shared" si="57"/>
        <v>0</v>
      </c>
      <c r="DE42" s="24"/>
      <c r="DF42" s="24">
        <f t="shared" si="58"/>
        <v>0</v>
      </c>
      <c r="DG42" s="24">
        <f t="shared" si="51"/>
        <v>0</v>
      </c>
      <c r="DH42" s="24">
        <f t="shared" si="59"/>
        <v>0</v>
      </c>
      <c r="DJ42" s="194"/>
      <c r="DK42" s="194"/>
      <c r="DL42" s="198"/>
      <c r="DM42" s="199"/>
      <c r="DN42" s="200"/>
    </row>
    <row r="43" spans="1:118" ht="25.5" hidden="1" customHeight="1" x14ac:dyDescent="0.25">
      <c r="A43" s="246"/>
      <c r="B43" s="239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1"/>
        <v>2090344065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1300000000+44000000-44000000+488711643+13621206+25971216+262040000</f>
        <v>2090344065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0.80912088986652064</v>
      </c>
      <c r="AB43" s="24">
        <f t="shared" si="32"/>
        <v>1691341050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+'[4]DICIEMBRE 2016'!$V$2508</f>
        <v>1691341050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0.19087911013347936</v>
      </c>
      <c r="AX43" s="24">
        <f t="shared" si="33"/>
        <v>399003015</v>
      </c>
      <c r="AY43" s="24">
        <f t="shared" si="43"/>
        <v>0</v>
      </c>
      <c r="AZ43" s="24">
        <f t="shared" si="43"/>
        <v>0</v>
      </c>
      <c r="BA43" s="24">
        <f t="shared" si="43"/>
        <v>0</v>
      </c>
      <c r="BB43" s="24">
        <f t="shared" si="53"/>
        <v>0</v>
      </c>
      <c r="BC43" s="24">
        <f t="shared" si="53"/>
        <v>0</v>
      </c>
      <c r="BD43" s="24">
        <f t="shared" si="53"/>
        <v>0</v>
      </c>
      <c r="BE43" s="24">
        <f t="shared" si="53"/>
        <v>0</v>
      </c>
      <c r="BF43" s="24">
        <f t="shared" si="53"/>
        <v>0</v>
      </c>
      <c r="BG43" s="24">
        <f t="shared" si="53"/>
        <v>0</v>
      </c>
      <c r="BH43" s="24">
        <f t="shared" si="53"/>
        <v>0</v>
      </c>
      <c r="BI43" s="24">
        <f t="shared" si="53"/>
        <v>399003015</v>
      </c>
      <c r="BJ43" s="24">
        <f t="shared" si="53"/>
        <v>0</v>
      </c>
      <c r="BK43" s="24">
        <f t="shared" si="53"/>
        <v>0</v>
      </c>
      <c r="BL43" s="24">
        <f t="shared" si="53"/>
        <v>0</v>
      </c>
      <c r="BM43" s="24">
        <f t="shared" si="53"/>
        <v>0</v>
      </c>
      <c r="BN43" s="24"/>
      <c r="BO43" s="24">
        <f>+X43-AT43</f>
        <v>0</v>
      </c>
      <c r="BP43" s="24">
        <f t="shared" si="54"/>
        <v>0</v>
      </c>
      <c r="BQ43" s="24">
        <f t="shared" si="55"/>
        <v>0</v>
      </c>
      <c r="BR43" s="25">
        <f t="shared" si="10"/>
        <v>0.80912088986652064</v>
      </c>
      <c r="BS43" s="24">
        <f t="shared" si="36"/>
        <v>1691341050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+'[4]DICIEMBRE 2016'!$V$2508</f>
        <v>1691341050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0.19087911013347936</v>
      </c>
      <c r="CO43" s="24">
        <f t="shared" si="37"/>
        <v>399003015</v>
      </c>
      <c r="CP43" s="24">
        <f t="shared" si="46"/>
        <v>0</v>
      </c>
      <c r="CQ43" s="24">
        <f t="shared" si="46"/>
        <v>0</v>
      </c>
      <c r="CR43" s="24">
        <f t="shared" si="46"/>
        <v>0</v>
      </c>
      <c r="CS43" s="24">
        <f t="shared" si="46"/>
        <v>0</v>
      </c>
      <c r="CT43" s="24">
        <f t="shared" si="46"/>
        <v>0</v>
      </c>
      <c r="CU43" s="24">
        <f t="shared" si="46"/>
        <v>0</v>
      </c>
      <c r="CV43" s="24">
        <f t="shared" si="56"/>
        <v>0</v>
      </c>
      <c r="CW43" s="24">
        <f t="shared" si="56"/>
        <v>0</v>
      </c>
      <c r="CX43" s="24">
        <f t="shared" si="56"/>
        <v>0</v>
      </c>
      <c r="CY43" s="24">
        <f t="shared" si="48"/>
        <v>0</v>
      </c>
      <c r="CZ43" s="24">
        <f t="shared" si="48"/>
        <v>399003015</v>
      </c>
      <c r="DA43" s="24">
        <f t="shared" si="48"/>
        <v>0</v>
      </c>
      <c r="DB43" s="24">
        <f t="shared" si="57"/>
        <v>0</v>
      </c>
      <c r="DC43" s="24">
        <f t="shared" si="57"/>
        <v>0</v>
      </c>
      <c r="DD43" s="24">
        <f t="shared" si="57"/>
        <v>0</v>
      </c>
      <c r="DE43" s="24"/>
      <c r="DF43" s="24">
        <f t="shared" si="58"/>
        <v>0</v>
      </c>
      <c r="DG43" s="24">
        <f t="shared" si="51"/>
        <v>0</v>
      </c>
      <c r="DH43" s="24">
        <f t="shared" si="59"/>
        <v>0</v>
      </c>
      <c r="DJ43" s="194"/>
      <c r="DK43" s="194"/>
      <c r="DL43" s="198"/>
      <c r="DM43" s="199"/>
      <c r="DN43" s="200"/>
    </row>
    <row r="44" spans="1:118" ht="41.25" hidden="1" customHeight="1" x14ac:dyDescent="0.25">
      <c r="A44" s="246"/>
      <c r="B44" s="240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1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0.91862840336846285</v>
      </c>
      <c r="AB44" s="24">
        <f t="shared" si="32"/>
        <v>88275477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+'[2]DICIEMBRE 2016'!$Y$3069</f>
        <v>88275477</v>
      </c>
      <c r="AR44" s="24"/>
      <c r="AS44" s="24"/>
      <c r="AT44" s="24"/>
      <c r="AU44" s="24"/>
      <c r="AV44" s="24"/>
      <c r="AW44" s="25">
        <f t="shared" si="3"/>
        <v>8.1371596631537146E-2</v>
      </c>
      <c r="AX44" s="24">
        <f t="shared" si="33"/>
        <v>7819393</v>
      </c>
      <c r="AY44" s="24">
        <f t="shared" si="43"/>
        <v>0</v>
      </c>
      <c r="AZ44" s="24">
        <f t="shared" si="43"/>
        <v>0</v>
      </c>
      <c r="BA44" s="24">
        <f t="shared" si="43"/>
        <v>0</v>
      </c>
      <c r="BB44" s="24">
        <f t="shared" si="53"/>
        <v>0</v>
      </c>
      <c r="BC44" s="24">
        <f t="shared" si="53"/>
        <v>0</v>
      </c>
      <c r="BD44" s="24">
        <f t="shared" si="53"/>
        <v>0</v>
      </c>
      <c r="BE44" s="24">
        <f t="shared" si="53"/>
        <v>0</v>
      </c>
      <c r="BF44" s="24">
        <f>+O44-AL44</f>
        <v>0</v>
      </c>
      <c r="BG44" s="24">
        <f>+P44-AM44</f>
        <v>0</v>
      </c>
      <c r="BH44" s="24">
        <f t="shared" si="53"/>
        <v>0</v>
      </c>
      <c r="BI44" s="24">
        <f t="shared" si="53"/>
        <v>0</v>
      </c>
      <c r="BJ44" s="24">
        <f t="shared" si="53"/>
        <v>0</v>
      </c>
      <c r="BK44" s="24">
        <f t="shared" si="53"/>
        <v>0</v>
      </c>
      <c r="BL44" s="24">
        <f t="shared" si="53"/>
        <v>7819393</v>
      </c>
      <c r="BM44" s="24">
        <f t="shared" si="53"/>
        <v>0</v>
      </c>
      <c r="BN44" s="24"/>
      <c r="BO44" s="24">
        <f>+X44-AT44</f>
        <v>0</v>
      </c>
      <c r="BP44" s="24">
        <f t="shared" si="54"/>
        <v>0</v>
      </c>
      <c r="BQ44" s="24">
        <f t="shared" si="55"/>
        <v>0</v>
      </c>
      <c r="BR44" s="25">
        <f t="shared" si="10"/>
        <v>0.91862840336846285</v>
      </c>
      <c r="BS44" s="24">
        <f t="shared" si="36"/>
        <v>88275477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+'[5]NOVIEMBRE 2016'!$H$2917</f>
        <v>88275477</v>
      </c>
      <c r="CI44" s="24"/>
      <c r="CJ44" s="24"/>
      <c r="CK44" s="24"/>
      <c r="CL44" s="24"/>
      <c r="CM44" s="24"/>
      <c r="CN44" s="25">
        <f t="shared" si="12"/>
        <v>8.1371596631537146E-2</v>
      </c>
      <c r="CO44" s="24">
        <f t="shared" si="37"/>
        <v>7819393</v>
      </c>
      <c r="CP44" s="24">
        <f t="shared" si="46"/>
        <v>0</v>
      </c>
      <c r="CQ44" s="24">
        <f t="shared" si="46"/>
        <v>0</v>
      </c>
      <c r="CR44" s="24">
        <f t="shared" si="46"/>
        <v>0</v>
      </c>
      <c r="CS44" s="24">
        <f t="shared" si="46"/>
        <v>0</v>
      </c>
      <c r="CT44" s="24">
        <f t="shared" si="46"/>
        <v>0</v>
      </c>
      <c r="CU44" s="24">
        <f t="shared" si="46"/>
        <v>0</v>
      </c>
      <c r="CV44" s="24">
        <f t="shared" si="56"/>
        <v>0</v>
      </c>
      <c r="CW44" s="24">
        <f t="shared" si="56"/>
        <v>0</v>
      </c>
      <c r="CX44" s="24">
        <f t="shared" si="56"/>
        <v>0</v>
      </c>
      <c r="CY44" s="24">
        <f t="shared" si="48"/>
        <v>0</v>
      </c>
      <c r="CZ44" s="24">
        <f t="shared" si="48"/>
        <v>0</v>
      </c>
      <c r="DA44" s="24">
        <f t="shared" si="48"/>
        <v>0</v>
      </c>
      <c r="DB44" s="24">
        <f t="shared" si="57"/>
        <v>0</v>
      </c>
      <c r="DC44" s="24">
        <f t="shared" si="57"/>
        <v>7819393</v>
      </c>
      <c r="DD44" s="24">
        <f t="shared" si="57"/>
        <v>0</v>
      </c>
      <c r="DE44" s="24"/>
      <c r="DF44" s="24">
        <f t="shared" si="58"/>
        <v>0</v>
      </c>
      <c r="DG44" s="24">
        <f t="shared" si="51"/>
        <v>0</v>
      </c>
      <c r="DH44" s="24">
        <f t="shared" si="59"/>
        <v>0</v>
      </c>
      <c r="DJ44" s="194"/>
      <c r="DK44" s="194"/>
      <c r="DL44" s="198"/>
      <c r="DM44" s="199"/>
      <c r="DN44" s="200"/>
    </row>
    <row r="45" spans="1:118" ht="24" hidden="1" customHeight="1" x14ac:dyDescent="0.25">
      <c r="A45" s="246"/>
      <c r="B45" s="241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1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0.79209560976756954</v>
      </c>
      <c r="AB45" s="24">
        <f t="shared" si="32"/>
        <v>17514129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+'[4]DICIEMBRE 2016'!$Y$3092</f>
        <v>17514129</v>
      </c>
      <c r="AR45" s="24"/>
      <c r="AS45" s="24"/>
      <c r="AT45" s="24"/>
      <c r="AU45" s="24"/>
      <c r="AV45" s="24"/>
      <c r="AW45" s="25">
        <f t="shared" si="3"/>
        <v>0.20790439023243046</v>
      </c>
      <c r="AX45" s="24">
        <f t="shared" si="33"/>
        <v>4597001</v>
      </c>
      <c r="AY45" s="24">
        <f t="shared" si="43"/>
        <v>0</v>
      </c>
      <c r="AZ45" s="24">
        <f t="shared" si="43"/>
        <v>0</v>
      </c>
      <c r="BA45" s="24">
        <f t="shared" si="43"/>
        <v>0</v>
      </c>
      <c r="BB45" s="24">
        <f t="shared" si="53"/>
        <v>0</v>
      </c>
      <c r="BC45" s="24">
        <f t="shared" si="53"/>
        <v>0</v>
      </c>
      <c r="BD45" s="24">
        <f t="shared" si="53"/>
        <v>0</v>
      </c>
      <c r="BE45" s="24">
        <f t="shared" si="53"/>
        <v>0</v>
      </c>
      <c r="BF45" s="24">
        <f>+O45-AL45</f>
        <v>0</v>
      </c>
      <c r="BG45" s="24">
        <f>+P45-AM45</f>
        <v>0</v>
      </c>
      <c r="BH45" s="24">
        <f t="shared" si="53"/>
        <v>0</v>
      </c>
      <c r="BI45" s="24">
        <f t="shared" si="53"/>
        <v>0</v>
      </c>
      <c r="BJ45" s="24">
        <f t="shared" si="53"/>
        <v>0</v>
      </c>
      <c r="BK45" s="24"/>
      <c r="BL45" s="24">
        <f t="shared" si="53"/>
        <v>4597001</v>
      </c>
      <c r="BM45" s="24">
        <f t="shared" si="53"/>
        <v>0</v>
      </c>
      <c r="BN45" s="24"/>
      <c r="BO45" s="24"/>
      <c r="BP45" s="24">
        <f t="shared" si="54"/>
        <v>0</v>
      </c>
      <c r="BQ45" s="24">
        <f t="shared" si="55"/>
        <v>0</v>
      </c>
      <c r="BR45" s="25">
        <f t="shared" si="10"/>
        <v>0.79209560976756954</v>
      </c>
      <c r="BS45" s="24">
        <f t="shared" si="36"/>
        <v>17514129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+'[4]DICIEMBRE 2016'!$Y$3092</f>
        <v>17514129</v>
      </c>
      <c r="CI45" s="24"/>
      <c r="CJ45" s="24"/>
      <c r="CK45" s="24"/>
      <c r="CL45" s="24"/>
      <c r="CM45" s="24"/>
      <c r="CN45" s="25">
        <f t="shared" si="12"/>
        <v>0.20790439023243046</v>
      </c>
      <c r="CO45" s="24">
        <f t="shared" si="37"/>
        <v>4597001</v>
      </c>
      <c r="CP45" s="24">
        <f t="shared" si="46"/>
        <v>0</v>
      </c>
      <c r="CQ45" s="24">
        <f t="shared" si="46"/>
        <v>0</v>
      </c>
      <c r="CR45" s="24">
        <f t="shared" si="46"/>
        <v>0</v>
      </c>
      <c r="CS45" s="24">
        <f t="shared" si="46"/>
        <v>0</v>
      </c>
      <c r="CT45" s="24">
        <f t="shared" si="46"/>
        <v>0</v>
      </c>
      <c r="CU45" s="24">
        <f t="shared" si="46"/>
        <v>0</v>
      </c>
      <c r="CV45" s="24">
        <f t="shared" si="56"/>
        <v>0</v>
      </c>
      <c r="CW45" s="24">
        <f t="shared" si="56"/>
        <v>0</v>
      </c>
      <c r="CX45" s="24">
        <f t="shared" si="56"/>
        <v>0</v>
      </c>
      <c r="CY45" s="24">
        <f t="shared" si="48"/>
        <v>0</v>
      </c>
      <c r="CZ45" s="24">
        <f t="shared" si="48"/>
        <v>0</v>
      </c>
      <c r="DA45" s="24">
        <f t="shared" si="48"/>
        <v>0</v>
      </c>
      <c r="DB45" s="24">
        <f t="shared" si="57"/>
        <v>0</v>
      </c>
      <c r="DC45" s="24">
        <f t="shared" si="57"/>
        <v>4597001</v>
      </c>
      <c r="DD45" s="24">
        <f t="shared" si="57"/>
        <v>0</v>
      </c>
      <c r="DE45" s="24"/>
      <c r="DF45" s="24">
        <f t="shared" si="58"/>
        <v>0</v>
      </c>
      <c r="DG45" s="24">
        <f t="shared" si="51"/>
        <v>0</v>
      </c>
      <c r="DH45" s="24">
        <f t="shared" si="59"/>
        <v>0</v>
      </c>
      <c r="DJ45" s="194"/>
      <c r="DK45" s="194"/>
      <c r="DL45" s="198"/>
      <c r="DM45" s="199"/>
      <c r="DN45" s="200"/>
    </row>
    <row r="46" spans="1:118" ht="21" hidden="1" customHeight="1" x14ac:dyDescent="0.25">
      <c r="A46" s="246"/>
      <c r="B46" s="239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1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0.77408184999999996</v>
      </c>
      <c r="AB46" s="24">
        <f t="shared" si="32"/>
        <v>15481637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+'[4]DICIEMBRE 2016'!$Y$3106</f>
        <v>15481637</v>
      </c>
      <c r="AR46" s="24"/>
      <c r="AS46" s="24"/>
      <c r="AT46" s="24"/>
      <c r="AU46" s="24"/>
      <c r="AV46" s="24"/>
      <c r="AW46" s="25">
        <f t="shared" si="3"/>
        <v>0.22591815000000004</v>
      </c>
      <c r="AX46" s="24">
        <f t="shared" si="33"/>
        <v>4518363</v>
      </c>
      <c r="AY46" s="24">
        <f t="shared" si="43"/>
        <v>0</v>
      </c>
      <c r="AZ46" s="24">
        <f t="shared" si="43"/>
        <v>0</v>
      </c>
      <c r="BA46" s="24">
        <f t="shared" si="43"/>
        <v>0</v>
      </c>
      <c r="BB46" s="24">
        <f t="shared" si="53"/>
        <v>0</v>
      </c>
      <c r="BC46" s="24">
        <f t="shared" si="53"/>
        <v>0</v>
      </c>
      <c r="BD46" s="24">
        <f t="shared" si="53"/>
        <v>0</v>
      </c>
      <c r="BE46" s="24">
        <f t="shared" si="53"/>
        <v>0</v>
      </c>
      <c r="BF46" s="24">
        <f t="shared" si="53"/>
        <v>0</v>
      </c>
      <c r="BG46" s="24">
        <f t="shared" ref="BG46:BG59" si="60">+P46-AM46</f>
        <v>0</v>
      </c>
      <c r="BH46" s="24">
        <f t="shared" si="53"/>
        <v>0</v>
      </c>
      <c r="BI46" s="24">
        <f t="shared" si="53"/>
        <v>0</v>
      </c>
      <c r="BJ46" s="24">
        <f t="shared" si="53"/>
        <v>0</v>
      </c>
      <c r="BK46" s="24">
        <f>+T46-AP46</f>
        <v>0</v>
      </c>
      <c r="BL46" s="24">
        <f t="shared" si="53"/>
        <v>4518363</v>
      </c>
      <c r="BM46" s="24">
        <f t="shared" si="53"/>
        <v>0</v>
      </c>
      <c r="BN46" s="24"/>
      <c r="BO46" s="24">
        <f>+X46-AT46</f>
        <v>0</v>
      </c>
      <c r="BP46" s="24">
        <f t="shared" si="54"/>
        <v>0</v>
      </c>
      <c r="BQ46" s="24">
        <f t="shared" si="55"/>
        <v>0</v>
      </c>
      <c r="BR46" s="25">
        <f t="shared" si="10"/>
        <v>0.77408184999999996</v>
      </c>
      <c r="BS46" s="24">
        <f t="shared" si="36"/>
        <v>15481637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+'[4]DICIEMBRE 2016'!$Y$3106</f>
        <v>15481637</v>
      </c>
      <c r="CI46" s="24"/>
      <c r="CJ46" s="24"/>
      <c r="CK46" s="24"/>
      <c r="CL46" s="24"/>
      <c r="CM46" s="24"/>
      <c r="CN46" s="25">
        <f t="shared" si="12"/>
        <v>0.22591815000000004</v>
      </c>
      <c r="CO46" s="24">
        <f t="shared" si="37"/>
        <v>4518363</v>
      </c>
      <c r="CP46" s="24">
        <f t="shared" si="46"/>
        <v>0</v>
      </c>
      <c r="CQ46" s="24">
        <f t="shared" si="46"/>
        <v>0</v>
      </c>
      <c r="CR46" s="24">
        <f t="shared" si="46"/>
        <v>0</v>
      </c>
      <c r="CS46" s="24">
        <f t="shared" si="46"/>
        <v>0</v>
      </c>
      <c r="CT46" s="24">
        <f t="shared" si="46"/>
        <v>0</v>
      </c>
      <c r="CU46" s="24">
        <f t="shared" si="46"/>
        <v>0</v>
      </c>
      <c r="CV46" s="24">
        <f t="shared" si="56"/>
        <v>0</v>
      </c>
      <c r="CW46" s="24">
        <f t="shared" si="56"/>
        <v>0</v>
      </c>
      <c r="CX46" s="24">
        <f t="shared" si="56"/>
        <v>0</v>
      </c>
      <c r="CY46" s="24">
        <f t="shared" si="48"/>
        <v>0</v>
      </c>
      <c r="CZ46" s="24">
        <f t="shared" si="48"/>
        <v>0</v>
      </c>
      <c r="DA46" s="24">
        <f t="shared" si="48"/>
        <v>0</v>
      </c>
      <c r="DB46" s="24">
        <f t="shared" si="57"/>
        <v>0</v>
      </c>
      <c r="DC46" s="24">
        <f t="shared" si="57"/>
        <v>4518363</v>
      </c>
      <c r="DD46" s="24">
        <f t="shared" si="57"/>
        <v>0</v>
      </c>
      <c r="DE46" s="24"/>
      <c r="DF46" s="24">
        <f t="shared" si="58"/>
        <v>0</v>
      </c>
      <c r="DG46" s="24">
        <f t="shared" si="51"/>
        <v>0</v>
      </c>
      <c r="DH46" s="24">
        <f t="shared" si="59"/>
        <v>0</v>
      </c>
      <c r="DJ46" s="194"/>
      <c r="DK46" s="194"/>
      <c r="DL46" s="198"/>
      <c r="DM46" s="199"/>
      <c r="DN46" s="200"/>
    </row>
    <row r="47" spans="1:118" ht="30" hidden="1" x14ac:dyDescent="0.25">
      <c r="A47" s="246"/>
      <c r="B47" s="240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1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2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+'[10]SEPTIEMBRE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3"/>
        <v>3166</v>
      </c>
      <c r="AY47" s="24">
        <f t="shared" si="43"/>
        <v>0</v>
      </c>
      <c r="AZ47" s="24">
        <f t="shared" si="43"/>
        <v>0</v>
      </c>
      <c r="BA47" s="24">
        <f t="shared" si="43"/>
        <v>0</v>
      </c>
      <c r="BB47" s="24">
        <f t="shared" si="53"/>
        <v>0</v>
      </c>
      <c r="BC47" s="24">
        <f t="shared" si="53"/>
        <v>0</v>
      </c>
      <c r="BD47" s="24">
        <f t="shared" si="53"/>
        <v>0</v>
      </c>
      <c r="BE47" s="24">
        <f t="shared" si="53"/>
        <v>0</v>
      </c>
      <c r="BF47" s="24">
        <f t="shared" si="53"/>
        <v>0</v>
      </c>
      <c r="BG47" s="24">
        <f t="shared" si="60"/>
        <v>0</v>
      </c>
      <c r="BH47" s="24">
        <f t="shared" si="53"/>
        <v>0</v>
      </c>
      <c r="BI47" s="24">
        <f t="shared" si="53"/>
        <v>0</v>
      </c>
      <c r="BJ47" s="24">
        <f t="shared" si="53"/>
        <v>0</v>
      </c>
      <c r="BK47" s="24">
        <f>+T47-AP47</f>
        <v>0</v>
      </c>
      <c r="BL47" s="24">
        <f t="shared" si="53"/>
        <v>3166</v>
      </c>
      <c r="BM47" s="24">
        <f t="shared" si="53"/>
        <v>0</v>
      </c>
      <c r="BN47" s="24"/>
      <c r="BO47" s="24"/>
      <c r="BP47" s="24">
        <f t="shared" si="54"/>
        <v>0</v>
      </c>
      <c r="BQ47" s="24">
        <f t="shared" si="55"/>
        <v>0</v>
      </c>
      <c r="BR47" s="25">
        <f t="shared" si="10"/>
        <v>0.9996834</v>
      </c>
      <c r="BS47" s="24">
        <f t="shared" si="36"/>
        <v>9996834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+'[2]DICIEMBRE 2016'!$H$3114</f>
        <v>9996834</v>
      </c>
      <c r="CI47" s="24"/>
      <c r="CJ47" s="24"/>
      <c r="CK47" s="24"/>
      <c r="CL47" s="24"/>
      <c r="CM47" s="24"/>
      <c r="CN47" s="25">
        <f t="shared" si="12"/>
        <v>3.1660000000000021E-4</v>
      </c>
      <c r="CO47" s="24">
        <f t="shared" si="37"/>
        <v>3166</v>
      </c>
      <c r="CP47" s="24">
        <f t="shared" si="46"/>
        <v>0</v>
      </c>
      <c r="CQ47" s="24">
        <f t="shared" si="46"/>
        <v>0</v>
      </c>
      <c r="CR47" s="24">
        <f t="shared" si="46"/>
        <v>0</v>
      </c>
      <c r="CS47" s="24">
        <f t="shared" si="46"/>
        <v>0</v>
      </c>
      <c r="CT47" s="24">
        <f t="shared" si="46"/>
        <v>0</v>
      </c>
      <c r="CU47" s="24">
        <f t="shared" si="46"/>
        <v>0</v>
      </c>
      <c r="CV47" s="24">
        <f t="shared" si="56"/>
        <v>0</v>
      </c>
      <c r="CW47" s="24">
        <f t="shared" si="56"/>
        <v>0</v>
      </c>
      <c r="CX47" s="24">
        <f t="shared" si="56"/>
        <v>0</v>
      </c>
      <c r="CY47" s="24">
        <f t="shared" si="48"/>
        <v>0</v>
      </c>
      <c r="CZ47" s="24">
        <f t="shared" si="48"/>
        <v>0</v>
      </c>
      <c r="DA47" s="24">
        <f t="shared" si="48"/>
        <v>0</v>
      </c>
      <c r="DB47" s="24">
        <f t="shared" si="57"/>
        <v>0</v>
      </c>
      <c r="DC47" s="24">
        <f t="shared" si="57"/>
        <v>3166</v>
      </c>
      <c r="DD47" s="24">
        <f t="shared" si="57"/>
        <v>0</v>
      </c>
      <c r="DE47" s="24"/>
      <c r="DF47" s="24">
        <f t="shared" si="58"/>
        <v>0</v>
      </c>
      <c r="DG47" s="24">
        <f t="shared" si="51"/>
        <v>0</v>
      </c>
      <c r="DH47" s="24">
        <f t="shared" si="59"/>
        <v>0</v>
      </c>
      <c r="DJ47" s="194"/>
      <c r="DK47" s="194"/>
      <c r="DL47" s="198"/>
      <c r="DM47" s="199"/>
      <c r="DN47" s="200"/>
    </row>
    <row r="48" spans="1:118" ht="22.5" hidden="1" customHeight="1" x14ac:dyDescent="0.25">
      <c r="A48" s="246"/>
      <c r="B48" s="240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1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2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+'[9]AGOSTO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3"/>
        <v>2388</v>
      </c>
      <c r="AY48" s="24">
        <f t="shared" si="43"/>
        <v>0</v>
      </c>
      <c r="AZ48" s="24">
        <f t="shared" si="43"/>
        <v>0</v>
      </c>
      <c r="BA48" s="24">
        <f t="shared" si="43"/>
        <v>0</v>
      </c>
      <c r="BB48" s="24">
        <f t="shared" si="53"/>
        <v>0</v>
      </c>
      <c r="BC48" s="24">
        <f t="shared" si="53"/>
        <v>0</v>
      </c>
      <c r="BD48" s="24">
        <f t="shared" si="53"/>
        <v>0</v>
      </c>
      <c r="BE48" s="24">
        <f t="shared" si="53"/>
        <v>0</v>
      </c>
      <c r="BF48" s="24">
        <f t="shared" si="53"/>
        <v>0</v>
      </c>
      <c r="BG48" s="24">
        <f t="shared" si="60"/>
        <v>0</v>
      </c>
      <c r="BH48" s="24">
        <f t="shared" si="53"/>
        <v>0</v>
      </c>
      <c r="BI48" s="24">
        <f t="shared" si="53"/>
        <v>0</v>
      </c>
      <c r="BJ48" s="24">
        <f t="shared" si="53"/>
        <v>0</v>
      </c>
      <c r="BK48" s="24"/>
      <c r="BL48" s="24">
        <f t="shared" si="53"/>
        <v>2388</v>
      </c>
      <c r="BM48" s="24">
        <f t="shared" si="53"/>
        <v>0</v>
      </c>
      <c r="BN48" s="24"/>
      <c r="BO48" s="24"/>
      <c r="BP48" s="24">
        <f t="shared" si="54"/>
        <v>0</v>
      </c>
      <c r="BQ48" s="24">
        <f t="shared" si="55"/>
        <v>0</v>
      </c>
      <c r="BR48" s="25">
        <f t="shared" si="10"/>
        <v>0.99988060000000001</v>
      </c>
      <c r="BS48" s="24">
        <f t="shared" si="36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+'[10]SEPTIEMBRE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37"/>
        <v>2388</v>
      </c>
      <c r="CP48" s="24">
        <f t="shared" si="46"/>
        <v>0</v>
      </c>
      <c r="CQ48" s="24">
        <f t="shared" si="46"/>
        <v>0</v>
      </c>
      <c r="CR48" s="24">
        <f t="shared" si="46"/>
        <v>0</v>
      </c>
      <c r="CS48" s="24">
        <f t="shared" si="46"/>
        <v>0</v>
      </c>
      <c r="CT48" s="24">
        <f t="shared" si="46"/>
        <v>0</v>
      </c>
      <c r="CU48" s="24">
        <f t="shared" si="46"/>
        <v>0</v>
      </c>
      <c r="CV48" s="24">
        <f t="shared" si="56"/>
        <v>0</v>
      </c>
      <c r="CW48" s="24">
        <f t="shared" si="56"/>
        <v>0</v>
      </c>
      <c r="CX48" s="24">
        <f t="shared" si="56"/>
        <v>0</v>
      </c>
      <c r="CY48" s="24">
        <f t="shared" si="56"/>
        <v>0</v>
      </c>
      <c r="CZ48" s="24">
        <f t="shared" si="56"/>
        <v>0</v>
      </c>
      <c r="DA48" s="24">
        <f t="shared" si="56"/>
        <v>0</v>
      </c>
      <c r="DB48" s="24">
        <f t="shared" si="57"/>
        <v>0</v>
      </c>
      <c r="DC48" s="24">
        <f t="shared" si="57"/>
        <v>2388</v>
      </c>
      <c r="DD48" s="24">
        <f t="shared" si="57"/>
        <v>0</v>
      </c>
      <c r="DE48" s="24"/>
      <c r="DF48" s="24">
        <f t="shared" si="58"/>
        <v>0</v>
      </c>
      <c r="DG48" s="24">
        <f t="shared" ref="DG48:DG59" si="61">Y48-CL48</f>
        <v>0</v>
      </c>
      <c r="DH48" s="24">
        <f t="shared" si="59"/>
        <v>0</v>
      </c>
      <c r="DJ48" s="194"/>
      <c r="DK48" s="194"/>
      <c r="DL48" s="198"/>
      <c r="DM48" s="199"/>
      <c r="DN48" s="200"/>
    </row>
    <row r="49" spans="1:118" ht="36" hidden="1" customHeight="1" x14ac:dyDescent="0.25">
      <c r="A49" s="246"/>
      <c r="B49" s="241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1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2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+'[10]SEPTIEMBRE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3"/>
        <v>3200000</v>
      </c>
      <c r="AY49" s="24">
        <f t="shared" si="43"/>
        <v>0</v>
      </c>
      <c r="AZ49" s="24">
        <f t="shared" si="43"/>
        <v>0</v>
      </c>
      <c r="BA49" s="24">
        <f t="shared" si="43"/>
        <v>0</v>
      </c>
      <c r="BB49" s="24">
        <f t="shared" si="53"/>
        <v>0</v>
      </c>
      <c r="BC49" s="24">
        <f t="shared" si="53"/>
        <v>0</v>
      </c>
      <c r="BD49" s="24">
        <f t="shared" si="53"/>
        <v>0</v>
      </c>
      <c r="BE49" s="24">
        <f t="shared" si="53"/>
        <v>0</v>
      </c>
      <c r="BF49" s="24">
        <f t="shared" si="53"/>
        <v>0</v>
      </c>
      <c r="BG49" s="24">
        <f t="shared" si="60"/>
        <v>0</v>
      </c>
      <c r="BH49" s="24">
        <f t="shared" si="53"/>
        <v>0</v>
      </c>
      <c r="BI49" s="24">
        <f t="shared" si="53"/>
        <v>0</v>
      </c>
      <c r="BJ49" s="24">
        <f t="shared" si="53"/>
        <v>0</v>
      </c>
      <c r="BK49" s="24"/>
      <c r="BL49" s="24">
        <f t="shared" si="53"/>
        <v>0</v>
      </c>
      <c r="BM49" s="24">
        <f t="shared" si="53"/>
        <v>0</v>
      </c>
      <c r="BN49" s="24"/>
      <c r="BO49" s="24"/>
      <c r="BP49" s="24">
        <f t="shared" si="54"/>
        <v>0</v>
      </c>
      <c r="BQ49" s="24">
        <f t="shared" si="55"/>
        <v>3200000</v>
      </c>
      <c r="BR49" s="25">
        <f t="shared" si="10"/>
        <v>0.75757575757575757</v>
      </c>
      <c r="BS49" s="24">
        <f t="shared" si="36"/>
        <v>10000000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+'[2]DICIEMBRE 2016'!$H$3127</f>
        <v>10000000</v>
      </c>
      <c r="CI49" s="24"/>
      <c r="CJ49" s="24"/>
      <c r="CK49" s="24"/>
      <c r="CL49" s="24"/>
      <c r="CM49" s="24"/>
      <c r="CN49" s="25">
        <f t="shared" si="12"/>
        <v>0.24242424242424243</v>
      </c>
      <c r="CO49" s="24">
        <f t="shared" si="37"/>
        <v>3200000</v>
      </c>
      <c r="CP49" s="24">
        <f t="shared" si="46"/>
        <v>0</v>
      </c>
      <c r="CQ49" s="24">
        <f t="shared" si="46"/>
        <v>0</v>
      </c>
      <c r="CR49" s="24">
        <f t="shared" si="46"/>
        <v>0</v>
      </c>
      <c r="CS49" s="24">
        <f t="shared" si="46"/>
        <v>0</v>
      </c>
      <c r="CT49" s="24">
        <f t="shared" si="46"/>
        <v>0</v>
      </c>
      <c r="CU49" s="24">
        <f t="shared" si="46"/>
        <v>0</v>
      </c>
      <c r="CV49" s="24">
        <f t="shared" si="56"/>
        <v>0</v>
      </c>
      <c r="CW49" s="24">
        <f t="shared" si="56"/>
        <v>0</v>
      </c>
      <c r="CX49" s="24">
        <f t="shared" si="56"/>
        <v>0</v>
      </c>
      <c r="CY49" s="24">
        <f t="shared" si="56"/>
        <v>0</v>
      </c>
      <c r="CZ49" s="24">
        <f t="shared" si="56"/>
        <v>0</v>
      </c>
      <c r="DA49" s="24">
        <f t="shared" si="56"/>
        <v>0</v>
      </c>
      <c r="DB49" s="24">
        <f t="shared" si="57"/>
        <v>0</v>
      </c>
      <c r="DC49" s="24">
        <f t="shared" si="57"/>
        <v>0</v>
      </c>
      <c r="DD49" s="24">
        <f t="shared" si="57"/>
        <v>0</v>
      </c>
      <c r="DE49" s="24"/>
      <c r="DF49" s="24">
        <f t="shared" si="58"/>
        <v>0</v>
      </c>
      <c r="DG49" s="24">
        <f t="shared" si="61"/>
        <v>0</v>
      </c>
      <c r="DH49" s="24">
        <f t="shared" si="59"/>
        <v>3200000</v>
      </c>
      <c r="DJ49" s="194"/>
      <c r="DK49" s="194"/>
      <c r="DL49" s="198"/>
      <c r="DM49" s="199"/>
      <c r="DN49" s="200"/>
    </row>
    <row r="50" spans="1:118" ht="23.25" hidden="1" customHeight="1" x14ac:dyDescent="0.25">
      <c r="A50" s="246" t="s">
        <v>87</v>
      </c>
      <c r="B50" s="239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1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0.99321566274228323</v>
      </c>
      <c r="AB50" s="24">
        <f t="shared" si="32"/>
        <v>372199461</v>
      </c>
      <c r="AC50" s="24"/>
      <c r="AD50" s="24"/>
      <c r="AE50" s="24">
        <f>+'[3]ENERO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+'[4]DICIEMBRE 2016'!$AF$3141</f>
        <v>102199461</v>
      </c>
      <c r="AV50" s="24"/>
      <c r="AW50" s="25">
        <f t="shared" si="3"/>
        <v>6.784337257716766E-3</v>
      </c>
      <c r="AX50" s="24">
        <f t="shared" si="33"/>
        <v>2542375</v>
      </c>
      <c r="AY50" s="24">
        <f t="shared" si="43"/>
        <v>0</v>
      </c>
      <c r="AZ50" s="24">
        <f t="shared" si="43"/>
        <v>0</v>
      </c>
      <c r="BA50" s="24">
        <f t="shared" si="43"/>
        <v>0</v>
      </c>
      <c r="BB50" s="24">
        <f t="shared" si="53"/>
        <v>0</v>
      </c>
      <c r="BC50" s="24">
        <f t="shared" si="53"/>
        <v>0</v>
      </c>
      <c r="BD50" s="24">
        <f t="shared" si="53"/>
        <v>0</v>
      </c>
      <c r="BE50" s="24">
        <f t="shared" si="53"/>
        <v>0</v>
      </c>
      <c r="BF50" s="24">
        <f t="shared" si="53"/>
        <v>0</v>
      </c>
      <c r="BG50" s="24">
        <f t="shared" si="60"/>
        <v>0</v>
      </c>
      <c r="BH50" s="24">
        <f t="shared" si="53"/>
        <v>0</v>
      </c>
      <c r="BI50" s="24">
        <f t="shared" si="53"/>
        <v>0</v>
      </c>
      <c r="BJ50" s="24">
        <f t="shared" si="53"/>
        <v>0</v>
      </c>
      <c r="BK50" s="24">
        <f>+T50-AP50</f>
        <v>0</v>
      </c>
      <c r="BL50" s="24">
        <f t="shared" si="53"/>
        <v>0</v>
      </c>
      <c r="BM50" s="24">
        <f t="shared" si="53"/>
        <v>0</v>
      </c>
      <c r="BN50" s="24"/>
      <c r="BO50" s="24"/>
      <c r="BP50" s="24">
        <f t="shared" si="54"/>
        <v>2542375</v>
      </c>
      <c r="BQ50" s="24">
        <f t="shared" si="55"/>
        <v>0</v>
      </c>
      <c r="BR50" s="25">
        <f t="shared" si="10"/>
        <v>0.99321566274228323</v>
      </c>
      <c r="BS50" s="24">
        <f t="shared" si="36"/>
        <v>372199461</v>
      </c>
      <c r="BT50" s="24"/>
      <c r="BU50" s="24"/>
      <c r="BV50" s="24">
        <f>+'[3]ENERO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+'[4]DICIEMBRE 2016'!$AF$3141</f>
        <v>102199461</v>
      </c>
      <c r="CM50" s="24"/>
      <c r="CN50" s="25">
        <f t="shared" si="12"/>
        <v>6.784337257716766E-3</v>
      </c>
      <c r="CO50" s="24">
        <f t="shared" si="37"/>
        <v>2542375</v>
      </c>
      <c r="CP50" s="24">
        <f t="shared" si="46"/>
        <v>0</v>
      </c>
      <c r="CQ50" s="24">
        <f t="shared" si="46"/>
        <v>0</v>
      </c>
      <c r="CR50" s="24">
        <f t="shared" si="46"/>
        <v>0</v>
      </c>
      <c r="CS50" s="24">
        <f t="shared" si="46"/>
        <v>0</v>
      </c>
      <c r="CT50" s="24">
        <f t="shared" si="46"/>
        <v>0</v>
      </c>
      <c r="CU50" s="24">
        <f t="shared" si="46"/>
        <v>0</v>
      </c>
      <c r="CV50" s="24">
        <f t="shared" si="56"/>
        <v>0</v>
      </c>
      <c r="CW50" s="24">
        <f t="shared" si="56"/>
        <v>0</v>
      </c>
      <c r="CX50" s="24">
        <f t="shared" si="56"/>
        <v>0</v>
      </c>
      <c r="CY50" s="24">
        <f t="shared" ref="CY50:DA59" si="62">Q50-CD50</f>
        <v>0</v>
      </c>
      <c r="CZ50" s="24">
        <f t="shared" si="62"/>
        <v>0</v>
      </c>
      <c r="DA50" s="24">
        <f t="shared" si="62"/>
        <v>0</v>
      </c>
      <c r="DB50" s="24">
        <f t="shared" si="57"/>
        <v>0</v>
      </c>
      <c r="DC50" s="24">
        <f t="shared" si="57"/>
        <v>0</v>
      </c>
      <c r="DD50" s="24">
        <f t="shared" si="57"/>
        <v>0</v>
      </c>
      <c r="DE50" s="24"/>
      <c r="DF50" s="24">
        <f t="shared" si="58"/>
        <v>0</v>
      </c>
      <c r="DG50" s="24">
        <f t="shared" si="61"/>
        <v>2542375</v>
      </c>
      <c r="DH50" s="24">
        <f t="shared" si="59"/>
        <v>0</v>
      </c>
      <c r="DJ50" s="194"/>
      <c r="DK50" s="194"/>
      <c r="DL50" s="198"/>
      <c r="DM50" s="199"/>
      <c r="DN50" s="200"/>
    </row>
    <row r="51" spans="1:118" s="58" customFormat="1" ht="22.5" hidden="1" customHeight="1" x14ac:dyDescent="0.25">
      <c r="A51" s="246"/>
      <c r="B51" s="241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1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2"/>
        <v>30000000</v>
      </c>
      <c r="AC51" s="54"/>
      <c r="AD51" s="54"/>
      <c r="AE51" s="54">
        <f>+'[8]JULIO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3"/>
        <v>0</v>
      </c>
      <c r="AY51" s="24">
        <f t="shared" si="43"/>
        <v>0</v>
      </c>
      <c r="AZ51" s="24">
        <f t="shared" si="43"/>
        <v>0</v>
      </c>
      <c r="BA51" s="24">
        <f t="shared" si="43"/>
        <v>0</v>
      </c>
      <c r="BB51" s="24">
        <f t="shared" si="53"/>
        <v>0</v>
      </c>
      <c r="BC51" s="24">
        <f t="shared" si="53"/>
        <v>0</v>
      </c>
      <c r="BD51" s="24">
        <f t="shared" si="53"/>
        <v>0</v>
      </c>
      <c r="BE51" s="24">
        <f t="shared" si="53"/>
        <v>0</v>
      </c>
      <c r="BF51" s="24">
        <f t="shared" si="53"/>
        <v>0</v>
      </c>
      <c r="BG51" s="24">
        <f t="shared" si="60"/>
        <v>0</v>
      </c>
      <c r="BH51" s="24">
        <f t="shared" si="53"/>
        <v>0</v>
      </c>
      <c r="BI51" s="24">
        <f t="shared" si="53"/>
        <v>0</v>
      </c>
      <c r="BJ51" s="24">
        <f t="shared" si="53"/>
        <v>0</v>
      </c>
      <c r="BK51" s="54"/>
      <c r="BL51" s="24">
        <f t="shared" si="53"/>
        <v>0</v>
      </c>
      <c r="BM51" s="24">
        <f t="shared" si="53"/>
        <v>0</v>
      </c>
      <c r="BN51" s="24"/>
      <c r="BO51" s="54"/>
      <c r="BP51" s="24">
        <f t="shared" si="54"/>
        <v>0</v>
      </c>
      <c r="BQ51" s="54">
        <f t="shared" si="55"/>
        <v>0</v>
      </c>
      <c r="BR51" s="57">
        <f t="shared" si="10"/>
        <v>1</v>
      </c>
      <c r="BS51" s="24">
        <f t="shared" si="36"/>
        <v>30000000</v>
      </c>
      <c r="BT51" s="54"/>
      <c r="BU51" s="54"/>
      <c r="BV51" s="54">
        <f>+'[9]AGOSTO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37"/>
        <v>0</v>
      </c>
      <c r="CP51" s="24">
        <f t="shared" si="46"/>
        <v>0</v>
      </c>
      <c r="CQ51" s="24">
        <f t="shared" si="46"/>
        <v>0</v>
      </c>
      <c r="CR51" s="24">
        <f t="shared" si="46"/>
        <v>0</v>
      </c>
      <c r="CS51" s="24">
        <f t="shared" si="46"/>
        <v>0</v>
      </c>
      <c r="CT51" s="24">
        <f t="shared" si="46"/>
        <v>0</v>
      </c>
      <c r="CU51" s="24">
        <f t="shared" si="46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2"/>
        <v>0</v>
      </c>
      <c r="CZ51" s="24">
        <f t="shared" si="62"/>
        <v>0</v>
      </c>
      <c r="DA51" s="24">
        <f t="shared" si="62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1"/>
        <v>0</v>
      </c>
      <c r="DH51" s="24">
        <f>Z51-CM51</f>
        <v>0</v>
      </c>
      <c r="DJ51" s="194"/>
      <c r="DK51" s="194"/>
      <c r="DL51" s="198"/>
      <c r="DM51" s="199"/>
      <c r="DN51" s="200"/>
    </row>
    <row r="52" spans="1:118" ht="36" hidden="1" customHeight="1" x14ac:dyDescent="0.25">
      <c r="A52" s="246"/>
      <c r="B52" s="239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1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0.96162207777777775</v>
      </c>
      <c r="AB52" s="24">
        <f t="shared" si="32"/>
        <v>86545987</v>
      </c>
      <c r="AC52" s="24"/>
      <c r="AD52" s="24"/>
      <c r="AE52" s="24">
        <f>+'[4]DICIEMBRE 2016'!$M$3163</f>
        <v>18177642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+'[4]DICIEMBRE 2016'!$Y$3163</f>
        <v>68368345</v>
      </c>
      <c r="AR52" s="24"/>
      <c r="AS52" s="24"/>
      <c r="AT52" s="24"/>
      <c r="AU52" s="24"/>
      <c r="AV52" s="24"/>
      <c r="AW52" s="25">
        <f t="shared" si="3"/>
        <v>3.8377922222222249E-2</v>
      </c>
      <c r="AX52" s="24">
        <f t="shared" si="33"/>
        <v>3454013</v>
      </c>
      <c r="AY52" s="24">
        <f t="shared" si="43"/>
        <v>0</v>
      </c>
      <c r="AZ52" s="24">
        <f t="shared" si="43"/>
        <v>3087149</v>
      </c>
      <c r="BA52" s="24">
        <f t="shared" si="43"/>
        <v>0</v>
      </c>
      <c r="BB52" s="24">
        <f t="shared" si="53"/>
        <v>0</v>
      </c>
      <c r="BC52" s="24">
        <f t="shared" si="53"/>
        <v>0</v>
      </c>
      <c r="BD52" s="24">
        <f t="shared" si="53"/>
        <v>0</v>
      </c>
      <c r="BE52" s="24">
        <f t="shared" si="53"/>
        <v>0</v>
      </c>
      <c r="BF52" s="24">
        <f t="shared" si="53"/>
        <v>0</v>
      </c>
      <c r="BG52" s="24">
        <f t="shared" si="60"/>
        <v>0</v>
      </c>
      <c r="BH52" s="24">
        <f t="shared" si="53"/>
        <v>0</v>
      </c>
      <c r="BI52" s="24">
        <f t="shared" si="53"/>
        <v>0</v>
      </c>
      <c r="BJ52" s="24">
        <f t="shared" si="53"/>
        <v>0</v>
      </c>
      <c r="BK52" s="24">
        <f>+T52-AP52</f>
        <v>0</v>
      </c>
      <c r="BL52" s="24">
        <f t="shared" si="53"/>
        <v>366864</v>
      </c>
      <c r="BM52" s="24">
        <f t="shared" si="53"/>
        <v>0</v>
      </c>
      <c r="BN52" s="24"/>
      <c r="BO52" s="24"/>
      <c r="BP52" s="24">
        <f t="shared" si="54"/>
        <v>0</v>
      </c>
      <c r="BQ52" s="24">
        <f t="shared" si="55"/>
        <v>0</v>
      </c>
      <c r="BR52" s="25">
        <f t="shared" si="10"/>
        <v>0.96162207777777775</v>
      </c>
      <c r="BS52" s="24">
        <f t="shared" si="36"/>
        <v>86545987</v>
      </c>
      <c r="BT52" s="24"/>
      <c r="BU52" s="24"/>
      <c r="BV52" s="24">
        <f>+'[4]DICIEMBRE 2016'!$M$3163</f>
        <v>18177642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+'[4]DICIEMBRE 2016'!$Y$3163</f>
        <v>68368345</v>
      </c>
      <c r="CI52" s="24"/>
      <c r="CJ52" s="24"/>
      <c r="CK52" s="24"/>
      <c r="CL52" s="24"/>
      <c r="CM52" s="24"/>
      <c r="CN52" s="25">
        <f t="shared" si="12"/>
        <v>3.8377922222222249E-2</v>
      </c>
      <c r="CO52" s="24">
        <f t="shared" si="37"/>
        <v>3454013</v>
      </c>
      <c r="CP52" s="24">
        <f t="shared" si="46"/>
        <v>0</v>
      </c>
      <c r="CQ52" s="24">
        <f t="shared" si="46"/>
        <v>3087149</v>
      </c>
      <c r="CR52" s="24">
        <f t="shared" si="46"/>
        <v>0</v>
      </c>
      <c r="CS52" s="24">
        <f t="shared" si="46"/>
        <v>0</v>
      </c>
      <c r="CT52" s="24">
        <f t="shared" si="46"/>
        <v>0</v>
      </c>
      <c r="CU52" s="24">
        <f t="shared" si="46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2"/>
        <v>0</v>
      </c>
      <c r="CZ52" s="24">
        <f t="shared" si="62"/>
        <v>0</v>
      </c>
      <c r="DA52" s="24">
        <f t="shared" si="62"/>
        <v>0</v>
      </c>
      <c r="DB52" s="24">
        <f>+T52-CG52</f>
        <v>0</v>
      </c>
      <c r="DC52" s="24">
        <f>+U52-CH52</f>
        <v>366864</v>
      </c>
      <c r="DD52" s="24">
        <f>+V52-CI52</f>
        <v>0</v>
      </c>
      <c r="DE52" s="24"/>
      <c r="DF52" s="24">
        <f>+X52-CK52</f>
        <v>0</v>
      </c>
      <c r="DG52" s="24">
        <f t="shared" si="61"/>
        <v>0</v>
      </c>
      <c r="DH52" s="24">
        <f>+Z52-CM52</f>
        <v>0</v>
      </c>
      <c r="DI52" s="43"/>
      <c r="DJ52" s="194"/>
      <c r="DK52" s="194"/>
      <c r="DL52" s="198"/>
      <c r="DM52" s="199"/>
      <c r="DN52" s="200"/>
    </row>
    <row r="53" spans="1:118" ht="21.75" hidden="1" customHeight="1" x14ac:dyDescent="0.25">
      <c r="A53" s="246"/>
      <c r="B53" s="241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1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1</v>
      </c>
      <c r="AB53" s="24">
        <f t="shared" si="32"/>
        <v>5060373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+'[5]NOVIEMBRE 2016'!$AG$3040</f>
        <v>5060373</v>
      </c>
      <c r="AW53" s="25">
        <f t="shared" si="3"/>
        <v>0</v>
      </c>
      <c r="AX53" s="24">
        <f t="shared" si="33"/>
        <v>0</v>
      </c>
      <c r="AY53" s="24">
        <f t="shared" si="43"/>
        <v>0</v>
      </c>
      <c r="AZ53" s="24">
        <f t="shared" si="43"/>
        <v>0</v>
      </c>
      <c r="BA53" s="24">
        <f t="shared" si="43"/>
        <v>0</v>
      </c>
      <c r="BB53" s="24">
        <f t="shared" si="53"/>
        <v>0</v>
      </c>
      <c r="BC53" s="24">
        <f t="shared" si="53"/>
        <v>0</v>
      </c>
      <c r="BD53" s="24">
        <f t="shared" si="53"/>
        <v>0</v>
      </c>
      <c r="BE53" s="24">
        <f t="shared" si="53"/>
        <v>0</v>
      </c>
      <c r="BF53" s="24">
        <f t="shared" si="53"/>
        <v>0</v>
      </c>
      <c r="BG53" s="24">
        <f t="shared" si="60"/>
        <v>0</v>
      </c>
      <c r="BH53" s="24">
        <f t="shared" si="53"/>
        <v>0</v>
      </c>
      <c r="BI53" s="24">
        <f t="shared" si="53"/>
        <v>0</v>
      </c>
      <c r="BJ53" s="24">
        <f t="shared" si="53"/>
        <v>0</v>
      </c>
      <c r="BK53" s="24"/>
      <c r="BL53" s="24">
        <f t="shared" si="53"/>
        <v>0</v>
      </c>
      <c r="BM53" s="24">
        <f t="shared" si="53"/>
        <v>0</v>
      </c>
      <c r="BN53" s="24"/>
      <c r="BO53" s="24"/>
      <c r="BP53" s="24">
        <f t="shared" si="54"/>
        <v>0</v>
      </c>
      <c r="BQ53" s="24">
        <f t="shared" si="55"/>
        <v>0</v>
      </c>
      <c r="BR53" s="25">
        <f t="shared" si="10"/>
        <v>1</v>
      </c>
      <c r="BS53" s="24">
        <f t="shared" si="36"/>
        <v>5060373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+'[5]NOVIEMBRE 2016'!$H$3038</f>
        <v>5060373</v>
      </c>
      <c r="CN53" s="25">
        <f t="shared" si="12"/>
        <v>0</v>
      </c>
      <c r="CO53" s="24">
        <f t="shared" si="37"/>
        <v>0</v>
      </c>
      <c r="CP53" s="24">
        <f t="shared" si="46"/>
        <v>0</v>
      </c>
      <c r="CQ53" s="24">
        <f t="shared" si="46"/>
        <v>0</v>
      </c>
      <c r="CR53" s="24">
        <f t="shared" si="46"/>
        <v>0</v>
      </c>
      <c r="CS53" s="24">
        <f t="shared" si="46"/>
        <v>0</v>
      </c>
      <c r="CT53" s="24">
        <f t="shared" si="46"/>
        <v>0</v>
      </c>
      <c r="CU53" s="24">
        <f t="shared" si="46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2"/>
        <v>0</v>
      </c>
      <c r="CZ53" s="24">
        <f t="shared" si="62"/>
        <v>0</v>
      </c>
      <c r="DA53" s="24">
        <f t="shared" si="62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1"/>
        <v>0</v>
      </c>
      <c r="DH53" s="24">
        <f>Z53-CM53</f>
        <v>0</v>
      </c>
      <c r="DI53" s="43"/>
      <c r="DJ53" s="194"/>
      <c r="DK53" s="194"/>
      <c r="DL53" s="198"/>
      <c r="DM53" s="199"/>
      <c r="DN53" s="200"/>
    </row>
    <row r="54" spans="1:118" ht="51.75" hidden="1" customHeight="1" x14ac:dyDescent="0.25">
      <c r="A54" s="246"/>
      <c r="B54" s="239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1"/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0.99857790476190478</v>
      </c>
      <c r="AB54" s="24">
        <f t="shared" si="32"/>
        <v>41940272</v>
      </c>
      <c r="AC54" s="24"/>
      <c r="AD54" s="24"/>
      <c r="AE54" s="24">
        <f>+'[2]DICIEMBRE 2016'!$M$3207</f>
        <v>29940272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+'[9]AGOSTO 2016'!$AG$2028</f>
        <v>12000000</v>
      </c>
      <c r="AW54" s="25">
        <f t="shared" si="3"/>
        <v>1.4220952380952223E-3</v>
      </c>
      <c r="AX54" s="24">
        <f t="shared" si="33"/>
        <v>59728</v>
      </c>
      <c r="AY54" s="24">
        <f t="shared" si="43"/>
        <v>0</v>
      </c>
      <c r="AZ54" s="24">
        <f t="shared" si="43"/>
        <v>59728</v>
      </c>
      <c r="BA54" s="24">
        <f t="shared" si="43"/>
        <v>0</v>
      </c>
      <c r="BB54" s="24">
        <f t="shared" si="53"/>
        <v>0</v>
      </c>
      <c r="BC54" s="24">
        <f t="shared" si="53"/>
        <v>0</v>
      </c>
      <c r="BD54" s="24">
        <f t="shared" si="53"/>
        <v>0</v>
      </c>
      <c r="BE54" s="24">
        <f t="shared" si="53"/>
        <v>0</v>
      </c>
      <c r="BF54" s="24">
        <f t="shared" si="53"/>
        <v>0</v>
      </c>
      <c r="BG54" s="24">
        <f t="shared" si="60"/>
        <v>0</v>
      </c>
      <c r="BH54" s="24">
        <f t="shared" si="53"/>
        <v>0</v>
      </c>
      <c r="BI54" s="24">
        <f t="shared" si="53"/>
        <v>0</v>
      </c>
      <c r="BJ54" s="24">
        <f t="shared" si="53"/>
        <v>0</v>
      </c>
      <c r="BK54" s="24">
        <f t="shared" si="53"/>
        <v>0</v>
      </c>
      <c r="BL54" s="24">
        <f t="shared" si="53"/>
        <v>0</v>
      </c>
      <c r="BM54" s="24">
        <f t="shared" si="53"/>
        <v>0</v>
      </c>
      <c r="BN54" s="24"/>
      <c r="BO54" s="24"/>
      <c r="BP54" s="24">
        <f t="shared" si="54"/>
        <v>0</v>
      </c>
      <c r="BQ54" s="24">
        <f t="shared" si="55"/>
        <v>0</v>
      </c>
      <c r="BR54" s="25">
        <f t="shared" si="10"/>
        <v>0.99857790476190478</v>
      </c>
      <c r="BS54" s="24">
        <f t="shared" si="36"/>
        <v>41940272</v>
      </c>
      <c r="BT54" s="24"/>
      <c r="BU54" s="24"/>
      <c r="BV54" s="24">
        <f>+'[10]SEPTIEMBRE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+'[10]SEPTIEMBRE 2016'!$H$2462+'[10]SEPTIEMBRE 2016'!$H$2464+'[10]SEPTIEMBRE 2016'!$H$2466+'[10]SEPTIEMBRE 2016'!$H$2407</f>
        <v>12000000</v>
      </c>
      <c r="CN54" s="25">
        <f t="shared" si="12"/>
        <v>1.4220952380952223E-3</v>
      </c>
      <c r="CO54" s="24">
        <f t="shared" si="37"/>
        <v>59728</v>
      </c>
      <c r="CP54" s="24">
        <f t="shared" si="46"/>
        <v>0</v>
      </c>
      <c r="CQ54" s="24">
        <f t="shared" si="46"/>
        <v>59728</v>
      </c>
      <c r="CR54" s="24">
        <f t="shared" si="46"/>
        <v>0</v>
      </c>
      <c r="CS54" s="24">
        <f t="shared" si="46"/>
        <v>0</v>
      </c>
      <c r="CT54" s="24">
        <f t="shared" si="46"/>
        <v>0</v>
      </c>
      <c r="CU54" s="24">
        <f t="shared" si="46"/>
        <v>0</v>
      </c>
      <c r="CV54" s="24">
        <f t="shared" ref="CV54:CW59" si="63">+N54-CA54</f>
        <v>0</v>
      </c>
      <c r="CW54" s="24">
        <f t="shared" si="63"/>
        <v>0</v>
      </c>
      <c r="CX54" s="24">
        <f t="shared" ref="CX54:CX59" si="64">P54-CC54</f>
        <v>0</v>
      </c>
      <c r="CY54" s="24">
        <f t="shared" si="62"/>
        <v>0</v>
      </c>
      <c r="CZ54" s="24">
        <f t="shared" si="62"/>
        <v>0</v>
      </c>
      <c r="DA54" s="24">
        <f t="shared" si="62"/>
        <v>0</v>
      </c>
      <c r="DB54" s="24">
        <f t="shared" ref="DB54:DD59" si="65">+T54-CG54</f>
        <v>0</v>
      </c>
      <c r="DC54" s="24">
        <f t="shared" si="65"/>
        <v>0</v>
      </c>
      <c r="DD54" s="24">
        <f t="shared" si="65"/>
        <v>0</v>
      </c>
      <c r="DE54" s="24"/>
      <c r="DF54" s="24">
        <f t="shared" ref="DF54:DF59" si="66">+X54-CK54</f>
        <v>0</v>
      </c>
      <c r="DG54" s="24">
        <f t="shared" si="61"/>
        <v>0</v>
      </c>
      <c r="DH54" s="24">
        <f t="shared" ref="DH54:DH59" si="67">+Z54-CM54</f>
        <v>0</v>
      </c>
      <c r="DJ54" s="194"/>
      <c r="DK54" s="194"/>
      <c r="DL54" s="198"/>
      <c r="DM54" s="199"/>
      <c r="DN54" s="200"/>
    </row>
    <row r="55" spans="1:118" ht="37.5" hidden="1" customHeight="1" x14ac:dyDescent="0.25">
      <c r="A55" s="246"/>
      <c r="B55" s="240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1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0.9553836</v>
      </c>
      <c r="AB55" s="24">
        <f t="shared" si="32"/>
        <v>9553836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f>+'[2]DICIEMBRE 2016'!$Y$3272</f>
        <v>9553836</v>
      </c>
      <c r="AR55" s="24"/>
      <c r="AS55" s="24"/>
      <c r="AT55" s="24"/>
      <c r="AU55" s="24"/>
      <c r="AV55" s="24"/>
      <c r="AW55" s="25">
        <f t="shared" si="3"/>
        <v>4.4616400000000001E-2</v>
      </c>
      <c r="AX55" s="24">
        <f t="shared" si="33"/>
        <v>446164</v>
      </c>
      <c r="AY55" s="24">
        <f t="shared" si="43"/>
        <v>0</v>
      </c>
      <c r="AZ55" s="24">
        <f t="shared" si="43"/>
        <v>0</v>
      </c>
      <c r="BA55" s="24">
        <f t="shared" si="43"/>
        <v>0</v>
      </c>
      <c r="BB55" s="24">
        <f t="shared" ref="BB55:BF59" si="68">+K55-AG55</f>
        <v>0</v>
      </c>
      <c r="BC55" s="24">
        <f t="shared" si="68"/>
        <v>0</v>
      </c>
      <c r="BD55" s="24">
        <f t="shared" si="68"/>
        <v>0</v>
      </c>
      <c r="BE55" s="24">
        <f t="shared" si="68"/>
        <v>0</v>
      </c>
      <c r="BF55" s="24">
        <f t="shared" si="68"/>
        <v>0</v>
      </c>
      <c r="BG55" s="24">
        <f t="shared" si="60"/>
        <v>0</v>
      </c>
      <c r="BH55" s="24">
        <f t="shared" ref="BH55:BM59" si="69">+Q55-AM55</f>
        <v>0</v>
      </c>
      <c r="BI55" s="24">
        <f t="shared" si="69"/>
        <v>0</v>
      </c>
      <c r="BJ55" s="24">
        <f t="shared" si="69"/>
        <v>0</v>
      </c>
      <c r="BK55" s="24">
        <f t="shared" si="69"/>
        <v>0</v>
      </c>
      <c r="BL55" s="24">
        <f t="shared" si="69"/>
        <v>446164</v>
      </c>
      <c r="BM55" s="24">
        <f t="shared" si="69"/>
        <v>0</v>
      </c>
      <c r="BN55" s="24"/>
      <c r="BO55" s="24"/>
      <c r="BP55" s="24">
        <f t="shared" si="54"/>
        <v>0</v>
      </c>
      <c r="BQ55" s="24">
        <f t="shared" si="55"/>
        <v>0</v>
      </c>
      <c r="BR55" s="25">
        <f t="shared" si="10"/>
        <v>0.9553836</v>
      </c>
      <c r="BS55" s="24">
        <f t="shared" si="36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+'[6]FEBRERO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37"/>
        <v>446164</v>
      </c>
      <c r="CP55" s="24">
        <f t="shared" si="46"/>
        <v>0</v>
      </c>
      <c r="CQ55" s="24">
        <f t="shared" si="46"/>
        <v>0</v>
      </c>
      <c r="CR55" s="24">
        <f t="shared" si="46"/>
        <v>0</v>
      </c>
      <c r="CS55" s="24">
        <f t="shared" si="46"/>
        <v>0</v>
      </c>
      <c r="CT55" s="24">
        <f t="shared" si="46"/>
        <v>0</v>
      </c>
      <c r="CU55" s="24">
        <f t="shared" si="46"/>
        <v>0</v>
      </c>
      <c r="CV55" s="24">
        <f t="shared" si="63"/>
        <v>0</v>
      </c>
      <c r="CW55" s="24">
        <f t="shared" si="63"/>
        <v>0</v>
      </c>
      <c r="CX55" s="24">
        <f t="shared" si="64"/>
        <v>0</v>
      </c>
      <c r="CY55" s="24">
        <f t="shared" si="62"/>
        <v>0</v>
      </c>
      <c r="CZ55" s="24">
        <f t="shared" si="62"/>
        <v>0</v>
      </c>
      <c r="DA55" s="24">
        <f t="shared" si="62"/>
        <v>0</v>
      </c>
      <c r="DB55" s="24">
        <f t="shared" si="65"/>
        <v>0</v>
      </c>
      <c r="DC55" s="24">
        <f t="shared" si="65"/>
        <v>446164</v>
      </c>
      <c r="DD55" s="24">
        <f t="shared" si="65"/>
        <v>0</v>
      </c>
      <c r="DE55" s="24"/>
      <c r="DF55" s="24">
        <f t="shared" si="66"/>
        <v>0</v>
      </c>
      <c r="DG55" s="24">
        <f t="shared" si="61"/>
        <v>0</v>
      </c>
      <c r="DH55" s="24">
        <f t="shared" si="67"/>
        <v>0</v>
      </c>
      <c r="DJ55" s="194"/>
      <c r="DK55" s="194"/>
      <c r="DL55" s="198"/>
      <c r="DM55" s="199"/>
      <c r="DN55" s="200"/>
    </row>
    <row r="56" spans="1:118" ht="32.25" hidden="1" customHeight="1" x14ac:dyDescent="0.25">
      <c r="A56" s="246"/>
      <c r="B56" s="240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1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0.99612520000000004</v>
      </c>
      <c r="AB56" s="24">
        <f t="shared" si="32"/>
        <v>29883756</v>
      </c>
      <c r="AC56" s="24"/>
      <c r="AD56" s="24"/>
      <c r="AE56" s="24">
        <f>+'[2]DICIEMBRE 2016'!$M$3281</f>
        <v>11715660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3.8747999999999561E-3</v>
      </c>
      <c r="AX56" s="24">
        <f t="shared" si="33"/>
        <v>116244</v>
      </c>
      <c r="AY56" s="24">
        <f t="shared" si="43"/>
        <v>0</v>
      </c>
      <c r="AZ56" s="24">
        <f t="shared" si="43"/>
        <v>116244</v>
      </c>
      <c r="BA56" s="24">
        <f t="shared" si="43"/>
        <v>0</v>
      </c>
      <c r="BB56" s="24">
        <f t="shared" si="68"/>
        <v>0</v>
      </c>
      <c r="BC56" s="24">
        <f t="shared" si="68"/>
        <v>0</v>
      </c>
      <c r="BD56" s="24">
        <f t="shared" si="68"/>
        <v>0</v>
      </c>
      <c r="BE56" s="24">
        <f t="shared" si="68"/>
        <v>0</v>
      </c>
      <c r="BF56" s="24">
        <f t="shared" si="68"/>
        <v>0</v>
      </c>
      <c r="BG56" s="24">
        <f t="shared" si="60"/>
        <v>0</v>
      </c>
      <c r="BH56" s="24">
        <f t="shared" si="69"/>
        <v>0</v>
      </c>
      <c r="BI56" s="24">
        <f t="shared" si="69"/>
        <v>0</v>
      </c>
      <c r="BJ56" s="24">
        <f t="shared" si="69"/>
        <v>0</v>
      </c>
      <c r="BK56" s="24">
        <f t="shared" si="69"/>
        <v>0</v>
      </c>
      <c r="BL56" s="24">
        <f t="shared" si="69"/>
        <v>0</v>
      </c>
      <c r="BM56" s="24">
        <f t="shared" si="69"/>
        <v>0</v>
      </c>
      <c r="BN56" s="24"/>
      <c r="BO56" s="24"/>
      <c r="BP56" s="24">
        <f t="shared" si="54"/>
        <v>0</v>
      </c>
      <c r="BQ56" s="24">
        <f t="shared" si="55"/>
        <v>0</v>
      </c>
      <c r="BR56" s="25">
        <f t="shared" si="10"/>
        <v>0.99612520000000004</v>
      </c>
      <c r="BS56" s="24">
        <f t="shared" si="36"/>
        <v>29883756</v>
      </c>
      <c r="BT56" s="24"/>
      <c r="BU56" s="24"/>
      <c r="BV56" s="24">
        <f>+'[10]SEPTIEMBRE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+'[6]FEBRERO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37"/>
        <v>116244</v>
      </c>
      <c r="CP56" s="24">
        <f t="shared" si="46"/>
        <v>0</v>
      </c>
      <c r="CQ56" s="24">
        <f t="shared" si="46"/>
        <v>116244</v>
      </c>
      <c r="CR56" s="24">
        <f t="shared" si="46"/>
        <v>0</v>
      </c>
      <c r="CS56" s="24">
        <f t="shared" si="46"/>
        <v>0</v>
      </c>
      <c r="CT56" s="24">
        <f t="shared" si="46"/>
        <v>0</v>
      </c>
      <c r="CU56" s="24">
        <f t="shared" si="46"/>
        <v>0</v>
      </c>
      <c r="CV56" s="24">
        <f t="shared" si="63"/>
        <v>0</v>
      </c>
      <c r="CW56" s="24">
        <f t="shared" si="63"/>
        <v>0</v>
      </c>
      <c r="CX56" s="24">
        <f t="shared" si="64"/>
        <v>0</v>
      </c>
      <c r="CY56" s="24">
        <f t="shared" si="62"/>
        <v>0</v>
      </c>
      <c r="CZ56" s="24">
        <f t="shared" si="62"/>
        <v>0</v>
      </c>
      <c r="DA56" s="24">
        <f t="shared" si="62"/>
        <v>0</v>
      </c>
      <c r="DB56" s="24">
        <f t="shared" si="65"/>
        <v>0</v>
      </c>
      <c r="DC56" s="24">
        <f t="shared" si="65"/>
        <v>0</v>
      </c>
      <c r="DD56" s="24">
        <f t="shared" si="65"/>
        <v>0</v>
      </c>
      <c r="DE56" s="24"/>
      <c r="DF56" s="24">
        <f t="shared" si="66"/>
        <v>0</v>
      </c>
      <c r="DG56" s="24">
        <f t="shared" si="61"/>
        <v>0</v>
      </c>
      <c r="DH56" s="24">
        <f t="shared" si="67"/>
        <v>0</v>
      </c>
      <c r="DJ56" s="194"/>
      <c r="DK56" s="194"/>
      <c r="DL56" s="198"/>
      <c r="DM56" s="199"/>
      <c r="DN56" s="200"/>
    </row>
    <row r="57" spans="1:118" ht="23.25" hidden="1" customHeight="1" x14ac:dyDescent="0.25">
      <c r="A57" s="246"/>
      <c r="B57" s="240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1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2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+'[3]ENERO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3"/>
        <v>0</v>
      </c>
      <c r="AY57" s="24">
        <f t="shared" si="43"/>
        <v>0</v>
      </c>
      <c r="AZ57" s="24">
        <f t="shared" si="43"/>
        <v>0</v>
      </c>
      <c r="BA57" s="24">
        <f t="shared" si="43"/>
        <v>0</v>
      </c>
      <c r="BB57" s="24">
        <f t="shared" si="68"/>
        <v>0</v>
      </c>
      <c r="BC57" s="24">
        <f t="shared" si="68"/>
        <v>0</v>
      </c>
      <c r="BD57" s="24">
        <f t="shared" si="68"/>
        <v>0</v>
      </c>
      <c r="BE57" s="24">
        <f t="shared" si="68"/>
        <v>0</v>
      </c>
      <c r="BF57" s="24">
        <f t="shared" si="68"/>
        <v>0</v>
      </c>
      <c r="BG57" s="24">
        <f t="shared" si="60"/>
        <v>0</v>
      </c>
      <c r="BH57" s="24">
        <f t="shared" si="69"/>
        <v>0</v>
      </c>
      <c r="BI57" s="24">
        <f t="shared" si="69"/>
        <v>0</v>
      </c>
      <c r="BJ57" s="24">
        <f t="shared" si="69"/>
        <v>0</v>
      </c>
      <c r="BK57" s="24">
        <f t="shared" si="69"/>
        <v>0</v>
      </c>
      <c r="BL57" s="24">
        <f t="shared" si="69"/>
        <v>0</v>
      </c>
      <c r="BM57" s="24">
        <f t="shared" si="69"/>
        <v>0</v>
      </c>
      <c r="BN57" s="24"/>
      <c r="BO57" s="24"/>
      <c r="BP57" s="24">
        <f t="shared" si="54"/>
        <v>0</v>
      </c>
      <c r="BQ57" s="24">
        <f t="shared" si="55"/>
        <v>0</v>
      </c>
      <c r="BR57" s="25">
        <f t="shared" si="10"/>
        <v>1</v>
      </c>
      <c r="BS57" s="24">
        <f t="shared" si="36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37"/>
        <v>0</v>
      </c>
      <c r="CP57" s="24">
        <f t="shared" si="46"/>
        <v>0</v>
      </c>
      <c r="CQ57" s="24">
        <f t="shared" si="46"/>
        <v>0</v>
      </c>
      <c r="CR57" s="24">
        <f t="shared" si="46"/>
        <v>0</v>
      </c>
      <c r="CS57" s="24">
        <f t="shared" si="46"/>
        <v>0</v>
      </c>
      <c r="CT57" s="24">
        <f t="shared" si="46"/>
        <v>0</v>
      </c>
      <c r="CU57" s="24">
        <f t="shared" si="46"/>
        <v>0</v>
      </c>
      <c r="CV57" s="24">
        <f t="shared" si="63"/>
        <v>0</v>
      </c>
      <c r="CW57" s="24">
        <f t="shared" si="63"/>
        <v>0</v>
      </c>
      <c r="CX57" s="24">
        <f t="shared" si="64"/>
        <v>0</v>
      </c>
      <c r="CY57" s="24">
        <f t="shared" si="62"/>
        <v>0</v>
      </c>
      <c r="CZ57" s="24">
        <f t="shared" si="62"/>
        <v>0</v>
      </c>
      <c r="DA57" s="24">
        <f t="shared" si="62"/>
        <v>0</v>
      </c>
      <c r="DB57" s="24">
        <f t="shared" si="65"/>
        <v>0</v>
      </c>
      <c r="DC57" s="24">
        <f t="shared" si="65"/>
        <v>0</v>
      </c>
      <c r="DD57" s="24">
        <f t="shared" si="65"/>
        <v>0</v>
      </c>
      <c r="DE57" s="24"/>
      <c r="DF57" s="24">
        <f t="shared" si="66"/>
        <v>0</v>
      </c>
      <c r="DG57" s="24">
        <f t="shared" si="61"/>
        <v>0</v>
      </c>
      <c r="DH57" s="24">
        <f t="shared" si="67"/>
        <v>0</v>
      </c>
      <c r="DJ57" s="194" t="s">
        <v>410</v>
      </c>
      <c r="DK57" s="194"/>
      <c r="DL57" s="198"/>
      <c r="DM57" s="199"/>
      <c r="DN57" s="200"/>
    </row>
    <row r="58" spans="1:118" ht="35.25" hidden="1" customHeight="1" x14ac:dyDescent="0.25">
      <c r="A58" s="246"/>
      <c r="B58" s="240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1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0.4457138519417605</v>
      </c>
      <c r="AB58" s="24">
        <f t="shared" si="32"/>
        <v>100750687</v>
      </c>
      <c r="AC58" s="24"/>
      <c r="AD58" s="24"/>
      <c r="AE58" s="24">
        <f>+'[2]DICIEMBRE 2016'!$M$3359</f>
        <v>22732510</v>
      </c>
      <c r="AF58" s="24"/>
      <c r="AG58" s="24"/>
      <c r="AH58" s="24">
        <f>+'[2]DICIEMBRE 2016'!$P$3359</f>
        <v>62566149</v>
      </c>
      <c r="AI58" s="24"/>
      <c r="AJ58" s="24"/>
      <c r="AK58" s="24"/>
      <c r="AL58" s="24"/>
      <c r="AM58" s="24"/>
      <c r="AN58" s="24"/>
      <c r="AO58" s="24"/>
      <c r="AP58" s="24"/>
      <c r="AQ58" s="24">
        <f>+'[2]DICIEMBRE 2016'!$Y$3359</f>
        <v>15452028</v>
      </c>
      <c r="AR58" s="24"/>
      <c r="AS58" s="24"/>
      <c r="AT58" s="24"/>
      <c r="AU58" s="24"/>
      <c r="AV58" s="24"/>
      <c r="AW58" s="25">
        <f t="shared" si="3"/>
        <v>0.5542861480582395</v>
      </c>
      <c r="AX58" s="24">
        <f t="shared" si="33"/>
        <v>125292741</v>
      </c>
      <c r="AY58" s="24">
        <f t="shared" si="43"/>
        <v>0</v>
      </c>
      <c r="AZ58" s="24">
        <f t="shared" si="43"/>
        <v>108942328</v>
      </c>
      <c r="BA58" s="24">
        <f t="shared" si="43"/>
        <v>0</v>
      </c>
      <c r="BB58" s="24">
        <f t="shared" si="68"/>
        <v>0</v>
      </c>
      <c r="BC58" s="24">
        <f t="shared" si="68"/>
        <v>11802441</v>
      </c>
      <c r="BD58" s="24">
        <f t="shared" si="68"/>
        <v>0</v>
      </c>
      <c r="BE58" s="24">
        <f t="shared" si="68"/>
        <v>0</v>
      </c>
      <c r="BF58" s="24">
        <f t="shared" si="68"/>
        <v>0</v>
      </c>
      <c r="BG58" s="24">
        <f t="shared" si="60"/>
        <v>0</v>
      </c>
      <c r="BH58" s="24">
        <f t="shared" si="69"/>
        <v>0</v>
      </c>
      <c r="BI58" s="24">
        <f t="shared" si="69"/>
        <v>0</v>
      </c>
      <c r="BJ58" s="24">
        <f t="shared" si="69"/>
        <v>0</v>
      </c>
      <c r="BK58" s="24">
        <f t="shared" si="69"/>
        <v>0</v>
      </c>
      <c r="BL58" s="24">
        <f t="shared" si="69"/>
        <v>4547972</v>
      </c>
      <c r="BM58" s="24">
        <f t="shared" si="69"/>
        <v>0</v>
      </c>
      <c r="BN58" s="24"/>
      <c r="BO58" s="24"/>
      <c r="BP58" s="24">
        <f t="shared" si="54"/>
        <v>0</v>
      </c>
      <c r="BQ58" s="24">
        <f t="shared" si="55"/>
        <v>0</v>
      </c>
      <c r="BR58" s="25">
        <f t="shared" si="10"/>
        <v>0.4457138519417605</v>
      </c>
      <c r="BS58" s="24">
        <f t="shared" si="36"/>
        <v>100750687</v>
      </c>
      <c r="BT58" s="24"/>
      <c r="BU58" s="24"/>
      <c r="BV58" s="24">
        <f>+'[4]DICIEMBRE 2016'!$M$3361</f>
        <v>22732510</v>
      </c>
      <c r="BW58" s="24"/>
      <c r="BX58" s="24"/>
      <c r="BY58" s="24">
        <f>+'[4]DICIEMBRE 2016'!$P$3361</f>
        <v>62566149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0.5542861480582395</v>
      </c>
      <c r="CO58" s="24">
        <f t="shared" si="37"/>
        <v>125292741</v>
      </c>
      <c r="CP58" s="24">
        <f t="shared" si="46"/>
        <v>0</v>
      </c>
      <c r="CQ58" s="24">
        <f t="shared" si="46"/>
        <v>108942328</v>
      </c>
      <c r="CR58" s="24">
        <f t="shared" si="46"/>
        <v>0</v>
      </c>
      <c r="CS58" s="24">
        <f t="shared" si="46"/>
        <v>0</v>
      </c>
      <c r="CT58" s="24">
        <f t="shared" si="46"/>
        <v>11802441</v>
      </c>
      <c r="CU58" s="24">
        <f t="shared" si="46"/>
        <v>0</v>
      </c>
      <c r="CV58" s="24">
        <f t="shared" si="63"/>
        <v>0</v>
      </c>
      <c r="CW58" s="24">
        <f t="shared" si="63"/>
        <v>0</v>
      </c>
      <c r="CX58" s="24">
        <f t="shared" si="64"/>
        <v>0</v>
      </c>
      <c r="CY58" s="24">
        <f t="shared" si="62"/>
        <v>0</v>
      </c>
      <c r="CZ58" s="24">
        <f t="shared" si="62"/>
        <v>0</v>
      </c>
      <c r="DA58" s="24">
        <f t="shared" si="62"/>
        <v>0</v>
      </c>
      <c r="DB58" s="24">
        <f t="shared" si="65"/>
        <v>0</v>
      </c>
      <c r="DC58" s="24">
        <f t="shared" si="65"/>
        <v>4547972</v>
      </c>
      <c r="DD58" s="24">
        <f t="shared" si="65"/>
        <v>0</v>
      </c>
      <c r="DE58" s="24"/>
      <c r="DF58" s="24">
        <f t="shared" si="66"/>
        <v>0</v>
      </c>
      <c r="DG58" s="24">
        <f t="shared" si="61"/>
        <v>0</v>
      </c>
      <c r="DH58" s="24">
        <f t="shared" si="67"/>
        <v>0</v>
      </c>
      <c r="DJ58" s="194"/>
      <c r="DK58" s="194"/>
      <c r="DL58" s="198"/>
      <c r="DM58" s="199"/>
      <c r="DN58" s="200"/>
    </row>
    <row r="59" spans="1:118" ht="34.5" hidden="1" customHeight="1" x14ac:dyDescent="0.25">
      <c r="A59" s="247"/>
      <c r="B59" s="241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1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2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+'[12]MARZO 2016 ULTIMO'!$AF$846</f>
        <v>16000000</v>
      </c>
      <c r="AW59" s="25">
        <f t="shared" si="3"/>
        <v>0</v>
      </c>
      <c r="AX59" s="24">
        <f t="shared" si="33"/>
        <v>0</v>
      </c>
      <c r="AY59" s="24">
        <f t="shared" si="43"/>
        <v>0</v>
      </c>
      <c r="AZ59" s="24">
        <f t="shared" si="43"/>
        <v>0</v>
      </c>
      <c r="BA59" s="24">
        <f t="shared" si="43"/>
        <v>0</v>
      </c>
      <c r="BB59" s="24">
        <f t="shared" si="68"/>
        <v>0</v>
      </c>
      <c r="BC59" s="24">
        <f t="shared" si="68"/>
        <v>0</v>
      </c>
      <c r="BD59" s="24">
        <f t="shared" si="68"/>
        <v>0</v>
      </c>
      <c r="BE59" s="24">
        <f t="shared" si="68"/>
        <v>0</v>
      </c>
      <c r="BF59" s="24">
        <f t="shared" si="68"/>
        <v>0</v>
      </c>
      <c r="BG59" s="24">
        <f t="shared" si="60"/>
        <v>0</v>
      </c>
      <c r="BH59" s="24">
        <f t="shared" si="69"/>
        <v>0</v>
      </c>
      <c r="BI59" s="24">
        <f t="shared" si="69"/>
        <v>0</v>
      </c>
      <c r="BJ59" s="24">
        <f t="shared" si="69"/>
        <v>0</v>
      </c>
      <c r="BK59" s="24">
        <f t="shared" si="69"/>
        <v>0</v>
      </c>
      <c r="BL59" s="24">
        <f t="shared" si="69"/>
        <v>0</v>
      </c>
      <c r="BM59" s="24">
        <f t="shared" si="69"/>
        <v>0</v>
      </c>
      <c r="BN59" s="24"/>
      <c r="BO59" s="24"/>
      <c r="BP59" s="24">
        <f t="shared" si="54"/>
        <v>0</v>
      </c>
      <c r="BQ59" s="24">
        <f t="shared" si="55"/>
        <v>0</v>
      </c>
      <c r="BR59" s="25">
        <f t="shared" si="10"/>
        <v>1</v>
      </c>
      <c r="BS59" s="24">
        <f t="shared" si="36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37"/>
        <v>0</v>
      </c>
      <c r="CP59" s="24">
        <f t="shared" si="46"/>
        <v>0</v>
      </c>
      <c r="CQ59" s="24">
        <f t="shared" si="46"/>
        <v>0</v>
      </c>
      <c r="CR59" s="24">
        <f t="shared" si="46"/>
        <v>0</v>
      </c>
      <c r="CS59" s="24">
        <f t="shared" si="46"/>
        <v>0</v>
      </c>
      <c r="CT59" s="24">
        <f t="shared" si="46"/>
        <v>0</v>
      </c>
      <c r="CU59" s="24">
        <f t="shared" si="46"/>
        <v>0</v>
      </c>
      <c r="CV59" s="24">
        <f t="shared" si="63"/>
        <v>0</v>
      </c>
      <c r="CW59" s="24">
        <f t="shared" si="63"/>
        <v>0</v>
      </c>
      <c r="CX59" s="24">
        <f t="shared" si="64"/>
        <v>0</v>
      </c>
      <c r="CY59" s="24">
        <f t="shared" si="62"/>
        <v>0</v>
      </c>
      <c r="CZ59" s="24">
        <f t="shared" si="62"/>
        <v>0</v>
      </c>
      <c r="DA59" s="24">
        <f t="shared" si="62"/>
        <v>0</v>
      </c>
      <c r="DB59" s="24">
        <f t="shared" si="65"/>
        <v>0</v>
      </c>
      <c r="DC59" s="24">
        <f t="shared" si="65"/>
        <v>0</v>
      </c>
      <c r="DD59" s="24">
        <f t="shared" si="65"/>
        <v>0</v>
      </c>
      <c r="DE59" s="24"/>
      <c r="DF59" s="24">
        <f t="shared" si="66"/>
        <v>0</v>
      </c>
      <c r="DG59" s="24">
        <f t="shared" si="61"/>
        <v>0</v>
      </c>
      <c r="DH59" s="24">
        <f t="shared" si="67"/>
        <v>0</v>
      </c>
      <c r="DJ59" s="194" t="s">
        <v>410</v>
      </c>
      <c r="DK59" s="194"/>
      <c r="DL59" s="198"/>
      <c r="DM59" s="199"/>
      <c r="DN59" s="200"/>
    </row>
    <row r="60" spans="1:118" s="43" customFormat="1" ht="18" customHeight="1" thickTop="1" thickBot="1" x14ac:dyDescent="0.3">
      <c r="A60" s="59"/>
      <c r="B60" s="297" t="s">
        <v>392</v>
      </c>
      <c r="C60" s="298"/>
      <c r="D60" s="298"/>
      <c r="E60" s="299"/>
      <c r="F60" s="60"/>
      <c r="G60" s="61">
        <f t="shared" ref="G60:Z60" si="70">SUM(G21:G59)</f>
        <v>6304612321</v>
      </c>
      <c r="H60" s="61">
        <f t="shared" si="70"/>
        <v>0</v>
      </c>
      <c r="I60" s="61">
        <f t="shared" si="70"/>
        <v>2263096695</v>
      </c>
      <c r="J60" s="61">
        <f t="shared" si="70"/>
        <v>0</v>
      </c>
      <c r="K60" s="61">
        <f t="shared" si="70"/>
        <v>0</v>
      </c>
      <c r="L60" s="61">
        <f t="shared" si="70"/>
        <v>74368590</v>
      </c>
      <c r="M60" s="61">
        <f t="shared" si="70"/>
        <v>0</v>
      </c>
      <c r="N60" s="61">
        <f t="shared" si="70"/>
        <v>0</v>
      </c>
      <c r="O60" s="61">
        <f t="shared" si="70"/>
        <v>0</v>
      </c>
      <c r="P60" s="61">
        <f t="shared" si="70"/>
        <v>0</v>
      </c>
      <c r="Q60" s="61">
        <f t="shared" si="70"/>
        <v>0</v>
      </c>
      <c r="R60" s="61">
        <f t="shared" si="70"/>
        <v>2107644065</v>
      </c>
      <c r="S60" s="61">
        <f t="shared" si="70"/>
        <v>387696735</v>
      </c>
      <c r="T60" s="61">
        <f t="shared" si="70"/>
        <v>0</v>
      </c>
      <c r="U60" s="61">
        <f t="shared" si="70"/>
        <v>1054833768</v>
      </c>
      <c r="V60" s="61">
        <f t="shared" si="70"/>
        <v>0</v>
      </c>
      <c r="W60" s="61">
        <f t="shared" si="70"/>
        <v>101970259</v>
      </c>
      <c r="X60" s="61">
        <f t="shared" si="70"/>
        <v>0</v>
      </c>
      <c r="Y60" s="61">
        <f t="shared" si="70"/>
        <v>204741836</v>
      </c>
      <c r="Z60" s="61">
        <f t="shared" si="70"/>
        <v>110260373</v>
      </c>
      <c r="AA60" s="159">
        <f t="shared" si="1"/>
        <v>0.86761253658375426</v>
      </c>
      <c r="AB60" s="61">
        <f>SUM(AB21:AB59)</f>
        <v>5469960688</v>
      </c>
      <c r="AC60" s="61"/>
      <c r="AD60" s="61">
        <f t="shared" ref="AD60:AV60" si="71">SUM(AD21:AD59)</f>
        <v>0</v>
      </c>
      <c r="AE60" s="61">
        <f t="shared" si="71"/>
        <v>2041432876</v>
      </c>
      <c r="AF60" s="61">
        <f t="shared" si="71"/>
        <v>0</v>
      </c>
      <c r="AG60" s="61">
        <f t="shared" si="71"/>
        <v>0</v>
      </c>
      <c r="AH60" s="61">
        <f t="shared" si="71"/>
        <v>62566149</v>
      </c>
      <c r="AI60" s="61">
        <f t="shared" si="71"/>
        <v>0</v>
      </c>
      <c r="AJ60" s="61">
        <f t="shared" si="71"/>
        <v>0</v>
      </c>
      <c r="AK60" s="61">
        <f t="shared" si="71"/>
        <v>0</v>
      </c>
      <c r="AL60" s="61">
        <f t="shared" si="71"/>
        <v>0</v>
      </c>
      <c r="AM60" s="61">
        <f t="shared" si="71"/>
        <v>0</v>
      </c>
      <c r="AN60" s="61">
        <f t="shared" si="71"/>
        <v>1702567793</v>
      </c>
      <c r="AO60" s="61">
        <f t="shared" si="71"/>
        <v>385950453</v>
      </c>
      <c r="AP60" s="61">
        <f t="shared" si="71"/>
        <v>0</v>
      </c>
      <c r="AQ60" s="61">
        <f t="shared" si="71"/>
        <v>988088149</v>
      </c>
      <c r="AR60" s="61">
        <f t="shared" si="71"/>
        <v>0</v>
      </c>
      <c r="AS60" s="61">
        <f t="shared" si="71"/>
        <v>85302101</v>
      </c>
      <c r="AT60" s="61">
        <f t="shared" si="71"/>
        <v>0</v>
      </c>
      <c r="AU60" s="61">
        <f t="shared" si="71"/>
        <v>111779461</v>
      </c>
      <c r="AV60" s="61">
        <f t="shared" si="71"/>
        <v>92273706</v>
      </c>
      <c r="AW60" s="159">
        <f t="shared" si="3"/>
        <v>0.13238746341624574</v>
      </c>
      <c r="AX60" s="61">
        <f t="shared" ref="AX60:BQ60" si="72">SUM(AX21:AX59)</f>
        <v>834651633</v>
      </c>
      <c r="AY60" s="61">
        <f t="shared" si="72"/>
        <v>0</v>
      </c>
      <c r="AZ60" s="61">
        <f t="shared" si="72"/>
        <v>221663819</v>
      </c>
      <c r="BA60" s="61">
        <f t="shared" si="72"/>
        <v>0</v>
      </c>
      <c r="BB60" s="61">
        <f t="shared" si="72"/>
        <v>0</v>
      </c>
      <c r="BC60" s="61">
        <f t="shared" si="72"/>
        <v>11802441</v>
      </c>
      <c r="BD60" s="61">
        <f t="shared" si="72"/>
        <v>0</v>
      </c>
      <c r="BE60" s="61">
        <f t="shared" si="72"/>
        <v>0</v>
      </c>
      <c r="BF60" s="61">
        <f t="shared" si="72"/>
        <v>0</v>
      </c>
      <c r="BG60" s="61">
        <f t="shared" si="72"/>
        <v>0</v>
      </c>
      <c r="BH60" s="61">
        <f t="shared" si="72"/>
        <v>0</v>
      </c>
      <c r="BI60" s="61">
        <f t="shared" si="72"/>
        <v>405076272</v>
      </c>
      <c r="BJ60" s="61">
        <f t="shared" si="72"/>
        <v>1746282</v>
      </c>
      <c r="BK60" s="61">
        <f t="shared" si="72"/>
        <v>0</v>
      </c>
      <c r="BL60" s="61">
        <f t="shared" si="72"/>
        <v>66745619</v>
      </c>
      <c r="BM60" s="61">
        <f t="shared" si="72"/>
        <v>0</v>
      </c>
      <c r="BN60" s="61">
        <f t="shared" si="72"/>
        <v>16668158</v>
      </c>
      <c r="BO60" s="61">
        <f t="shared" si="72"/>
        <v>0</v>
      </c>
      <c r="BP60" s="61">
        <f t="shared" si="72"/>
        <v>92962375</v>
      </c>
      <c r="BQ60" s="61">
        <f t="shared" si="72"/>
        <v>17986667</v>
      </c>
      <c r="BR60" s="160">
        <f t="shared" si="10"/>
        <v>0.86761253658375426</v>
      </c>
      <c r="BS60" s="61">
        <f t="shared" ref="BS60:DH60" si="73">SUM(BS21:BS59)</f>
        <v>5469960688</v>
      </c>
      <c r="BT60" s="61">
        <f t="shared" si="73"/>
        <v>0</v>
      </c>
      <c r="BU60" s="61">
        <f t="shared" si="73"/>
        <v>0</v>
      </c>
      <c r="BV60" s="61">
        <f t="shared" si="73"/>
        <v>2041432876</v>
      </c>
      <c r="BW60" s="61">
        <f t="shared" si="73"/>
        <v>0</v>
      </c>
      <c r="BX60" s="61">
        <f t="shared" si="73"/>
        <v>0</v>
      </c>
      <c r="BY60" s="61">
        <f t="shared" si="73"/>
        <v>62566149</v>
      </c>
      <c r="BZ60" s="61">
        <f t="shared" si="73"/>
        <v>0</v>
      </c>
      <c r="CA60" s="61">
        <f t="shared" si="73"/>
        <v>0</v>
      </c>
      <c r="CB60" s="61">
        <f t="shared" si="73"/>
        <v>0</v>
      </c>
      <c r="CC60" s="61">
        <f t="shared" si="73"/>
        <v>0</v>
      </c>
      <c r="CD60" s="61">
        <f t="shared" si="73"/>
        <v>0</v>
      </c>
      <c r="CE60" s="61">
        <f t="shared" si="73"/>
        <v>1702567793</v>
      </c>
      <c r="CF60" s="61">
        <f t="shared" si="73"/>
        <v>385950453</v>
      </c>
      <c r="CG60" s="61">
        <f t="shared" si="73"/>
        <v>0</v>
      </c>
      <c r="CH60" s="61">
        <f t="shared" si="73"/>
        <v>988088149</v>
      </c>
      <c r="CI60" s="61">
        <f t="shared" si="73"/>
        <v>0</v>
      </c>
      <c r="CJ60" s="61">
        <f t="shared" si="73"/>
        <v>85302101</v>
      </c>
      <c r="CK60" s="61">
        <f t="shared" si="73"/>
        <v>0</v>
      </c>
      <c r="CL60" s="61">
        <f t="shared" si="73"/>
        <v>111779461</v>
      </c>
      <c r="CM60" s="61">
        <f t="shared" si="73"/>
        <v>92273706</v>
      </c>
      <c r="CN60" s="159">
        <f t="shared" si="12"/>
        <v>0.13238746341624574</v>
      </c>
      <c r="CO60" s="61">
        <f t="shared" si="73"/>
        <v>834651633</v>
      </c>
      <c r="CP60" s="61">
        <f t="shared" si="73"/>
        <v>0</v>
      </c>
      <c r="CQ60" s="61">
        <f t="shared" si="73"/>
        <v>221663819</v>
      </c>
      <c r="CR60" s="61">
        <f t="shared" si="73"/>
        <v>0</v>
      </c>
      <c r="CS60" s="61">
        <f t="shared" si="73"/>
        <v>0</v>
      </c>
      <c r="CT60" s="61">
        <f t="shared" si="73"/>
        <v>11802441</v>
      </c>
      <c r="CU60" s="61">
        <f t="shared" si="73"/>
        <v>0</v>
      </c>
      <c r="CV60" s="61">
        <f t="shared" si="73"/>
        <v>0</v>
      </c>
      <c r="CW60" s="61">
        <f t="shared" si="73"/>
        <v>0</v>
      </c>
      <c r="CX60" s="61">
        <f t="shared" si="73"/>
        <v>0</v>
      </c>
      <c r="CY60" s="61">
        <f t="shared" si="73"/>
        <v>0</v>
      </c>
      <c r="CZ60" s="61">
        <f t="shared" si="73"/>
        <v>405076272</v>
      </c>
      <c r="DA60" s="61">
        <f t="shared" si="73"/>
        <v>1746282</v>
      </c>
      <c r="DB60" s="61">
        <f t="shared" si="73"/>
        <v>0</v>
      </c>
      <c r="DC60" s="61">
        <f t="shared" si="73"/>
        <v>66745619</v>
      </c>
      <c r="DD60" s="61">
        <f t="shared" si="73"/>
        <v>0</v>
      </c>
      <c r="DE60" s="61">
        <f t="shared" si="73"/>
        <v>16668158</v>
      </c>
      <c r="DF60" s="61">
        <f t="shared" si="73"/>
        <v>0</v>
      </c>
      <c r="DG60" s="61">
        <f t="shared" si="73"/>
        <v>92962375</v>
      </c>
      <c r="DH60" s="62">
        <f t="shared" si="73"/>
        <v>17986667</v>
      </c>
      <c r="DJ60" s="194" t="s">
        <v>410</v>
      </c>
      <c r="DK60" s="194"/>
      <c r="DL60" s="198">
        <v>6304612321</v>
      </c>
      <c r="DM60" s="199">
        <v>5469960688</v>
      </c>
      <c r="DN60" s="200">
        <v>0.86760000000000004</v>
      </c>
    </row>
    <row r="61" spans="1:118" ht="63" hidden="1" customHeight="1" thickTop="1" x14ac:dyDescent="0.25">
      <c r="A61" s="236" t="s">
        <v>183</v>
      </c>
      <c r="B61" s="239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4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48">
        <f t="shared" si="1"/>
        <v>0.98836267215799767</v>
      </c>
      <c r="AB61" s="24">
        <f>SUM(AC61:AV61)</f>
        <v>115893703</v>
      </c>
      <c r="AC61" s="24"/>
      <c r="AD61" s="24"/>
      <c r="AE61" s="24"/>
      <c r="AF61" s="24"/>
      <c r="AG61" s="24"/>
      <c r="AH61" s="24">
        <f>+'[2]DICIEMBRE 2016'!$P$3941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+'[2]DICIEMBRE 2016'!$AG$3941</f>
        <v>66095978</v>
      </c>
      <c r="AW61" s="48">
        <f t="shared" si="3"/>
        <v>1.1637327842002332E-2</v>
      </c>
      <c r="AX61" s="24">
        <f t="shared" ref="AX61:AX92" si="75">SUM(AY61:BQ61)</f>
        <v>1364573</v>
      </c>
      <c r="AY61" s="24">
        <f t="shared" ref="AY61:BM92" si="76">H61-AD61</f>
        <v>0</v>
      </c>
      <c r="AZ61" s="24">
        <f t="shared" si="76"/>
        <v>0</v>
      </c>
      <c r="BA61" s="24">
        <f t="shared" si="76"/>
        <v>0</v>
      </c>
      <c r="BB61" s="24">
        <f t="shared" ref="BB61:BM70" si="77">+K61-AG61</f>
        <v>0</v>
      </c>
      <c r="BC61" s="24">
        <f t="shared" si="77"/>
        <v>202275</v>
      </c>
      <c r="BD61" s="24">
        <f t="shared" si="77"/>
        <v>0</v>
      </c>
      <c r="BE61" s="24">
        <f t="shared" si="77"/>
        <v>0</v>
      </c>
      <c r="BF61" s="24">
        <f t="shared" si="77"/>
        <v>0</v>
      </c>
      <c r="BG61" s="24">
        <f t="shared" si="77"/>
        <v>0</v>
      </c>
      <c r="BH61" s="24">
        <f t="shared" si="77"/>
        <v>0</v>
      </c>
      <c r="BI61" s="24">
        <f t="shared" si="77"/>
        <v>0</v>
      </c>
      <c r="BJ61" s="24">
        <f t="shared" si="77"/>
        <v>0</v>
      </c>
      <c r="BK61" s="24">
        <f t="shared" si="77"/>
        <v>0</v>
      </c>
      <c r="BL61" s="24">
        <f t="shared" si="77"/>
        <v>0</v>
      </c>
      <c r="BM61" s="24">
        <f t="shared" si="77"/>
        <v>0</v>
      </c>
      <c r="BN61" s="24"/>
      <c r="BO61" s="24"/>
      <c r="BP61" s="24">
        <f t="shared" ref="BP61:BP92" si="78">Y61-AU61</f>
        <v>0</v>
      </c>
      <c r="BQ61" s="24">
        <f t="shared" ref="BQ61:BQ70" si="79">+Z61-AV61</f>
        <v>1162298</v>
      </c>
      <c r="BR61" s="25">
        <f t="shared" si="10"/>
        <v>0.98836267215799767</v>
      </c>
      <c r="BS61" s="24">
        <f t="shared" ref="BS61:BS92" si="80">SUM(BT61:CM61)</f>
        <v>115893703</v>
      </c>
      <c r="BT61" s="24"/>
      <c r="BU61" s="24"/>
      <c r="BV61" s="24"/>
      <c r="BW61" s="24"/>
      <c r="BX61" s="24"/>
      <c r="BY61" s="24">
        <f>+'[2]DICIEMBRE 2016'!$P$3941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+'[2]DICIEMBRE 2016'!$AG$3941</f>
        <v>66095978</v>
      </c>
      <c r="CN61" s="48">
        <f t="shared" si="12"/>
        <v>1.1637327842002332E-2</v>
      </c>
      <c r="CO61" s="24">
        <f t="shared" ref="CO61:CO92" si="81">SUM(CP61:DH61)</f>
        <v>1364573</v>
      </c>
      <c r="CP61" s="24">
        <f t="shared" ref="CP61:CX76" si="82">H61-BU61</f>
        <v>0</v>
      </c>
      <c r="CQ61" s="24">
        <f t="shared" si="82"/>
        <v>0</v>
      </c>
      <c r="CR61" s="24">
        <f t="shared" si="82"/>
        <v>0</v>
      </c>
      <c r="CS61" s="24">
        <f t="shared" si="82"/>
        <v>0</v>
      </c>
      <c r="CT61" s="24">
        <f t="shared" si="82"/>
        <v>202275</v>
      </c>
      <c r="CU61" s="24">
        <f t="shared" si="82"/>
        <v>0</v>
      </c>
      <c r="CV61" s="24">
        <f t="shared" ref="CV61:CX70" si="83">+N61-CA61</f>
        <v>0</v>
      </c>
      <c r="CW61" s="24">
        <f t="shared" si="83"/>
        <v>0</v>
      </c>
      <c r="CX61" s="24">
        <f t="shared" si="83"/>
        <v>0</v>
      </c>
      <c r="CY61" s="24">
        <f t="shared" ref="CY61:DD91" si="84">Q61-CD61</f>
        <v>0</v>
      </c>
      <c r="CZ61" s="24">
        <f t="shared" si="84"/>
        <v>0</v>
      </c>
      <c r="DA61" s="24">
        <f t="shared" si="84"/>
        <v>0</v>
      </c>
      <c r="DB61" s="24">
        <f t="shared" ref="DB61:DD70" si="85">+T61-CG61</f>
        <v>0</v>
      </c>
      <c r="DC61" s="24">
        <f t="shared" si="85"/>
        <v>0</v>
      </c>
      <c r="DD61" s="24">
        <f t="shared" si="85"/>
        <v>0</v>
      </c>
      <c r="DE61" s="24"/>
      <c r="DF61" s="24">
        <f t="shared" ref="DF61:DH70" si="86">+X61-CK61</f>
        <v>0</v>
      </c>
      <c r="DG61" s="54">
        <f t="shared" si="86"/>
        <v>0</v>
      </c>
      <c r="DH61" s="24">
        <f t="shared" si="86"/>
        <v>1162298</v>
      </c>
      <c r="DJ61" s="194"/>
      <c r="DK61" s="194"/>
      <c r="DL61" s="198"/>
      <c r="DM61" s="199"/>
      <c r="DN61" s="200"/>
    </row>
    <row r="62" spans="1:118" ht="35.25" hidden="1" customHeight="1" x14ac:dyDescent="0.25">
      <c r="A62" s="237"/>
      <c r="B62" s="240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4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87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5"/>
        <v>5440500</v>
      </c>
      <c r="AY62" s="24">
        <f t="shared" si="76"/>
        <v>0</v>
      </c>
      <c r="AZ62" s="24">
        <f t="shared" si="76"/>
        <v>0</v>
      </c>
      <c r="BA62" s="24">
        <f t="shared" si="76"/>
        <v>0</v>
      </c>
      <c r="BB62" s="24">
        <f t="shared" si="77"/>
        <v>0</v>
      </c>
      <c r="BC62" s="24">
        <f t="shared" si="77"/>
        <v>0</v>
      </c>
      <c r="BD62" s="24">
        <f t="shared" si="77"/>
        <v>0</v>
      </c>
      <c r="BE62" s="24">
        <f t="shared" si="77"/>
        <v>0</v>
      </c>
      <c r="BF62" s="24">
        <f t="shared" si="77"/>
        <v>0</v>
      </c>
      <c r="BG62" s="24">
        <f t="shared" si="77"/>
        <v>0</v>
      </c>
      <c r="BH62" s="24">
        <f t="shared" si="77"/>
        <v>0</v>
      </c>
      <c r="BI62" s="24">
        <f t="shared" si="77"/>
        <v>0</v>
      </c>
      <c r="BJ62" s="24">
        <f t="shared" si="77"/>
        <v>0</v>
      </c>
      <c r="BK62" s="24">
        <f t="shared" si="77"/>
        <v>0</v>
      </c>
      <c r="BL62" s="24">
        <f t="shared" si="77"/>
        <v>0</v>
      </c>
      <c r="BM62" s="24">
        <f t="shared" si="77"/>
        <v>0</v>
      </c>
      <c r="BN62" s="24"/>
      <c r="BO62" s="24"/>
      <c r="BP62" s="24">
        <f t="shared" si="78"/>
        <v>0</v>
      </c>
      <c r="BQ62" s="24">
        <f t="shared" si="79"/>
        <v>5440500</v>
      </c>
      <c r="BR62" s="25">
        <f t="shared" si="10"/>
        <v>0.31993749999999999</v>
      </c>
      <c r="BS62" s="24">
        <f t="shared" si="80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12"/>
        <v>0.68006250000000001</v>
      </c>
      <c r="CO62" s="24">
        <f t="shared" si="81"/>
        <v>5440500</v>
      </c>
      <c r="CP62" s="24">
        <f t="shared" si="82"/>
        <v>0</v>
      </c>
      <c r="CQ62" s="24">
        <f t="shared" si="82"/>
        <v>0</v>
      </c>
      <c r="CR62" s="24">
        <f t="shared" si="82"/>
        <v>0</v>
      </c>
      <c r="CS62" s="24">
        <f t="shared" si="82"/>
        <v>0</v>
      </c>
      <c r="CT62" s="24">
        <f t="shared" si="82"/>
        <v>0</v>
      </c>
      <c r="CU62" s="24">
        <f t="shared" si="82"/>
        <v>0</v>
      </c>
      <c r="CV62" s="24">
        <f t="shared" si="83"/>
        <v>0</v>
      </c>
      <c r="CW62" s="24">
        <f t="shared" si="83"/>
        <v>0</v>
      </c>
      <c r="CX62" s="24">
        <f t="shared" si="83"/>
        <v>0</v>
      </c>
      <c r="CY62" s="24">
        <f t="shared" si="84"/>
        <v>0</v>
      </c>
      <c r="CZ62" s="24">
        <f t="shared" si="84"/>
        <v>0</v>
      </c>
      <c r="DA62" s="24">
        <f t="shared" si="84"/>
        <v>0</v>
      </c>
      <c r="DB62" s="24">
        <f t="shared" si="85"/>
        <v>0</v>
      </c>
      <c r="DC62" s="24">
        <f t="shared" si="85"/>
        <v>0</v>
      </c>
      <c r="DD62" s="24">
        <f t="shared" si="85"/>
        <v>0</v>
      </c>
      <c r="DE62" s="24"/>
      <c r="DF62" s="24">
        <f t="shared" si="86"/>
        <v>0</v>
      </c>
      <c r="DG62" s="54">
        <f t="shared" si="86"/>
        <v>0</v>
      </c>
      <c r="DH62" s="24">
        <f t="shared" si="86"/>
        <v>5440500</v>
      </c>
      <c r="DJ62" s="194"/>
      <c r="DK62" s="194"/>
      <c r="DL62" s="198"/>
      <c r="DM62" s="199"/>
      <c r="DN62" s="200"/>
    </row>
    <row r="63" spans="1:118" ht="36.75" hidden="1" customHeight="1" x14ac:dyDescent="0.25">
      <c r="A63" s="237"/>
      <c r="B63" s="241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4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87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+'[11]JUNIO 2016'!$G$1784</f>
        <v>3000000</v>
      </c>
      <c r="AW63" s="25">
        <f t="shared" si="3"/>
        <v>0</v>
      </c>
      <c r="AX63" s="24">
        <f t="shared" si="75"/>
        <v>0</v>
      </c>
      <c r="AY63" s="24">
        <f t="shared" si="76"/>
        <v>0</v>
      </c>
      <c r="AZ63" s="24">
        <f t="shared" si="76"/>
        <v>0</v>
      </c>
      <c r="BA63" s="24">
        <f t="shared" si="76"/>
        <v>0</v>
      </c>
      <c r="BB63" s="24">
        <f t="shared" si="77"/>
        <v>0</v>
      </c>
      <c r="BC63" s="24">
        <f t="shared" si="77"/>
        <v>0</v>
      </c>
      <c r="BD63" s="24">
        <f t="shared" si="77"/>
        <v>0</v>
      </c>
      <c r="BE63" s="24">
        <f t="shared" si="77"/>
        <v>0</v>
      </c>
      <c r="BF63" s="24">
        <f t="shared" si="77"/>
        <v>0</v>
      </c>
      <c r="BG63" s="24">
        <f t="shared" si="77"/>
        <v>0</v>
      </c>
      <c r="BH63" s="24">
        <f t="shared" si="77"/>
        <v>0</v>
      </c>
      <c r="BI63" s="24">
        <f t="shared" si="77"/>
        <v>0</v>
      </c>
      <c r="BJ63" s="24">
        <f t="shared" si="77"/>
        <v>0</v>
      </c>
      <c r="BK63" s="24">
        <f t="shared" si="77"/>
        <v>0</v>
      </c>
      <c r="BL63" s="24">
        <f t="shared" si="77"/>
        <v>0</v>
      </c>
      <c r="BM63" s="24">
        <f t="shared" si="77"/>
        <v>0</v>
      </c>
      <c r="BN63" s="24"/>
      <c r="BO63" s="24"/>
      <c r="BP63" s="24">
        <f t="shared" si="78"/>
        <v>0</v>
      </c>
      <c r="BQ63" s="24">
        <f t="shared" si="79"/>
        <v>0</v>
      </c>
      <c r="BR63" s="25">
        <f t="shared" si="10"/>
        <v>1</v>
      </c>
      <c r="BS63" s="24">
        <f t="shared" si="80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+'[11]JUNIO 2016'!$H$1784</f>
        <v>3000000</v>
      </c>
      <c r="CN63" s="25">
        <f t="shared" si="12"/>
        <v>0</v>
      </c>
      <c r="CO63" s="24">
        <f t="shared" si="81"/>
        <v>0</v>
      </c>
      <c r="CP63" s="24">
        <f t="shared" si="82"/>
        <v>0</v>
      </c>
      <c r="CQ63" s="24">
        <f t="shared" si="82"/>
        <v>0</v>
      </c>
      <c r="CR63" s="24">
        <f t="shared" si="82"/>
        <v>0</v>
      </c>
      <c r="CS63" s="24">
        <f t="shared" si="82"/>
        <v>0</v>
      </c>
      <c r="CT63" s="24">
        <f t="shared" si="82"/>
        <v>0</v>
      </c>
      <c r="CU63" s="24">
        <f t="shared" si="82"/>
        <v>0</v>
      </c>
      <c r="CV63" s="24">
        <f t="shared" si="83"/>
        <v>0</v>
      </c>
      <c r="CW63" s="24">
        <f t="shared" si="83"/>
        <v>0</v>
      </c>
      <c r="CX63" s="24">
        <f t="shared" si="83"/>
        <v>0</v>
      </c>
      <c r="CY63" s="24">
        <f t="shared" si="84"/>
        <v>0</v>
      </c>
      <c r="CZ63" s="24">
        <f t="shared" si="84"/>
        <v>0</v>
      </c>
      <c r="DA63" s="24">
        <f t="shared" si="84"/>
        <v>0</v>
      </c>
      <c r="DB63" s="24">
        <f t="shared" si="85"/>
        <v>0</v>
      </c>
      <c r="DC63" s="24">
        <f t="shared" si="85"/>
        <v>0</v>
      </c>
      <c r="DD63" s="24">
        <f t="shared" si="85"/>
        <v>0</v>
      </c>
      <c r="DE63" s="24"/>
      <c r="DF63" s="24">
        <f t="shared" si="86"/>
        <v>0</v>
      </c>
      <c r="DG63" s="54">
        <f t="shared" si="86"/>
        <v>0</v>
      </c>
      <c r="DH63" s="24">
        <f t="shared" si="86"/>
        <v>0</v>
      </c>
      <c r="DJ63" s="194"/>
      <c r="DK63" s="194"/>
      <c r="DL63" s="198"/>
      <c r="DM63" s="199"/>
      <c r="DN63" s="200"/>
    </row>
    <row r="64" spans="1:118" ht="34.5" hidden="1" customHeight="1" x14ac:dyDescent="0.25">
      <c r="A64" s="237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4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0.90116805</v>
      </c>
      <c r="AB64" s="24">
        <f t="shared" si="87"/>
        <v>18023361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+'[2]DICIEMBRE 2016'!$W$4050</f>
        <v>18023361</v>
      </c>
      <c r="AP64" s="24"/>
      <c r="AQ64" s="24"/>
      <c r="AR64" s="24"/>
      <c r="AS64" s="24"/>
      <c r="AT64" s="24"/>
      <c r="AU64" s="24"/>
      <c r="AV64" s="24"/>
      <c r="AW64" s="25">
        <f t="shared" si="3"/>
        <v>9.8831950000000002E-2</v>
      </c>
      <c r="AX64" s="24">
        <f t="shared" si="75"/>
        <v>1976639</v>
      </c>
      <c r="AY64" s="24">
        <f t="shared" si="76"/>
        <v>0</v>
      </c>
      <c r="AZ64" s="24">
        <f t="shared" si="76"/>
        <v>0</v>
      </c>
      <c r="BA64" s="24">
        <f t="shared" si="76"/>
        <v>0</v>
      </c>
      <c r="BB64" s="24">
        <f t="shared" si="77"/>
        <v>0</v>
      </c>
      <c r="BC64" s="24">
        <f t="shared" si="77"/>
        <v>0</v>
      </c>
      <c r="BD64" s="24">
        <f t="shared" si="77"/>
        <v>0</v>
      </c>
      <c r="BE64" s="24">
        <f t="shared" si="77"/>
        <v>0</v>
      </c>
      <c r="BF64" s="24">
        <f t="shared" si="77"/>
        <v>0</v>
      </c>
      <c r="BG64" s="24">
        <f t="shared" si="77"/>
        <v>0</v>
      </c>
      <c r="BH64" s="24">
        <f t="shared" si="77"/>
        <v>0</v>
      </c>
      <c r="BI64" s="24">
        <f t="shared" si="77"/>
        <v>0</v>
      </c>
      <c r="BJ64" s="24">
        <f t="shared" si="77"/>
        <v>1976639</v>
      </c>
      <c r="BK64" s="24">
        <f t="shared" si="77"/>
        <v>0</v>
      </c>
      <c r="BL64" s="24">
        <f t="shared" si="77"/>
        <v>0</v>
      </c>
      <c r="BM64" s="24">
        <f t="shared" si="77"/>
        <v>0</v>
      </c>
      <c r="BN64" s="24"/>
      <c r="BO64" s="24">
        <f>+X64-AT64</f>
        <v>0</v>
      </c>
      <c r="BP64" s="24">
        <f t="shared" si="78"/>
        <v>0</v>
      </c>
      <c r="BQ64" s="24">
        <f t="shared" si="79"/>
        <v>0</v>
      </c>
      <c r="BR64" s="25">
        <f t="shared" si="10"/>
        <v>0.90116805</v>
      </c>
      <c r="BS64" s="24">
        <f t="shared" si="80"/>
        <v>18023361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+'[5]NOVIEMBRE 2016'!$H$3858</f>
        <v>18023361</v>
      </c>
      <c r="CG64" s="24"/>
      <c r="CH64" s="24"/>
      <c r="CI64" s="24"/>
      <c r="CJ64" s="24"/>
      <c r="CK64" s="24"/>
      <c r="CL64" s="24"/>
      <c r="CM64" s="24"/>
      <c r="CN64" s="25">
        <f t="shared" si="12"/>
        <v>9.8831950000000002E-2</v>
      </c>
      <c r="CO64" s="24">
        <f t="shared" si="81"/>
        <v>1976639</v>
      </c>
      <c r="CP64" s="24">
        <f t="shared" si="82"/>
        <v>0</v>
      </c>
      <c r="CQ64" s="24">
        <f t="shared" si="82"/>
        <v>0</v>
      </c>
      <c r="CR64" s="24">
        <f t="shared" si="82"/>
        <v>0</v>
      </c>
      <c r="CS64" s="24">
        <f t="shared" si="82"/>
        <v>0</v>
      </c>
      <c r="CT64" s="24">
        <f t="shared" si="82"/>
        <v>0</v>
      </c>
      <c r="CU64" s="24">
        <f t="shared" si="82"/>
        <v>0</v>
      </c>
      <c r="CV64" s="24">
        <f t="shared" si="83"/>
        <v>0</v>
      </c>
      <c r="CW64" s="24">
        <f t="shared" si="83"/>
        <v>0</v>
      </c>
      <c r="CX64" s="24">
        <f t="shared" si="83"/>
        <v>0</v>
      </c>
      <c r="CY64" s="24">
        <f t="shared" si="84"/>
        <v>0</v>
      </c>
      <c r="CZ64" s="24">
        <f t="shared" si="84"/>
        <v>0</v>
      </c>
      <c r="DA64" s="24">
        <f t="shared" si="84"/>
        <v>1976639</v>
      </c>
      <c r="DB64" s="24">
        <f t="shared" si="85"/>
        <v>0</v>
      </c>
      <c r="DC64" s="24">
        <f t="shared" si="85"/>
        <v>0</v>
      </c>
      <c r="DD64" s="24">
        <f t="shared" si="85"/>
        <v>0</v>
      </c>
      <c r="DE64" s="24"/>
      <c r="DF64" s="24">
        <f t="shared" si="86"/>
        <v>0</v>
      </c>
      <c r="DG64" s="54">
        <f t="shared" si="86"/>
        <v>0</v>
      </c>
      <c r="DH64" s="24">
        <f t="shared" si="86"/>
        <v>0</v>
      </c>
      <c r="DJ64" s="194"/>
      <c r="DK64" s="194"/>
      <c r="DL64" s="198"/>
      <c r="DM64" s="199"/>
      <c r="DN64" s="200"/>
    </row>
    <row r="65" spans="1:118" ht="36.75" hidden="1" customHeight="1" x14ac:dyDescent="0.25">
      <c r="A65" s="237"/>
      <c r="B65" s="239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4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0.99588846086956517</v>
      </c>
      <c r="AB65" s="24">
        <f t="shared" si="87"/>
        <v>114527173</v>
      </c>
      <c r="AC65" s="24"/>
      <c r="AD65" s="24"/>
      <c r="AE65" s="24"/>
      <c r="AF65" s="24"/>
      <c r="AG65" s="24">
        <f>+'[4]DICIEMBRE 2016'!$O$4088</f>
        <v>94527173</v>
      </c>
      <c r="AH65" s="24"/>
      <c r="AI65" s="24"/>
      <c r="AJ65" s="24"/>
      <c r="AK65" s="24"/>
      <c r="AL65" s="24"/>
      <c r="AM65" s="24"/>
      <c r="AN65" s="24"/>
      <c r="AO65" s="24">
        <f>+'[2]DICIEMBRE 2016'!$H$4096+'[2]DICIEMBRE 2016'!$H$4097+'[2]DICIEMBRE 2016'!$H$4107+'[2]DICIEMBRE 2016'!$H$4113</f>
        <v>20000000</v>
      </c>
      <c r="AP65" s="24"/>
      <c r="AQ65" s="24"/>
      <c r="AR65" s="24"/>
      <c r="AS65" s="24"/>
      <c r="AT65" s="24"/>
      <c r="AU65" s="24"/>
      <c r="AV65" s="24"/>
      <c r="AW65" s="25">
        <f t="shared" si="3"/>
        <v>4.111539130434827E-3</v>
      </c>
      <c r="AX65" s="24">
        <f t="shared" si="75"/>
        <v>472827</v>
      </c>
      <c r="AY65" s="24">
        <f t="shared" si="76"/>
        <v>0</v>
      </c>
      <c r="AZ65" s="24">
        <f t="shared" si="76"/>
        <v>0</v>
      </c>
      <c r="BA65" s="24">
        <f t="shared" si="76"/>
        <v>0</v>
      </c>
      <c r="BB65" s="24">
        <f t="shared" si="77"/>
        <v>472827</v>
      </c>
      <c r="BC65" s="24">
        <f t="shared" si="77"/>
        <v>0</v>
      </c>
      <c r="BD65" s="24">
        <f t="shared" si="77"/>
        <v>0</v>
      </c>
      <c r="BE65" s="24">
        <f>N65-AJ65</f>
        <v>0</v>
      </c>
      <c r="BF65" s="24">
        <f t="shared" si="77"/>
        <v>0</v>
      </c>
      <c r="BG65" s="24">
        <f t="shared" si="77"/>
        <v>0</v>
      </c>
      <c r="BH65" s="24">
        <f t="shared" si="77"/>
        <v>0</v>
      </c>
      <c r="BI65" s="24">
        <f t="shared" si="77"/>
        <v>0</v>
      </c>
      <c r="BJ65" s="24">
        <f t="shared" si="77"/>
        <v>0</v>
      </c>
      <c r="BK65" s="24">
        <f>T65-AP65</f>
        <v>0</v>
      </c>
      <c r="BL65" s="24">
        <f t="shared" si="77"/>
        <v>0</v>
      </c>
      <c r="BM65" s="24">
        <f t="shared" si="77"/>
        <v>0</v>
      </c>
      <c r="BN65" s="24"/>
      <c r="BO65" s="24"/>
      <c r="BP65" s="24">
        <f t="shared" si="78"/>
        <v>0</v>
      </c>
      <c r="BQ65" s="24">
        <f t="shared" si="79"/>
        <v>0</v>
      </c>
      <c r="BR65" s="25">
        <f t="shared" si="10"/>
        <v>0.99588846086956517</v>
      </c>
      <c r="BS65" s="24">
        <f t="shared" si="80"/>
        <v>114527173</v>
      </c>
      <c r="BT65" s="24"/>
      <c r="BU65" s="24"/>
      <c r="BV65" s="24"/>
      <c r="BW65" s="24"/>
      <c r="BX65" s="24">
        <f>+'[4]DICIEMBRE 2016'!$O$4088</f>
        <v>94527173</v>
      </c>
      <c r="BY65" s="24"/>
      <c r="BZ65" s="24"/>
      <c r="CA65" s="24"/>
      <c r="CB65" s="24"/>
      <c r="CC65" s="24"/>
      <c r="CD65" s="24"/>
      <c r="CE65" s="24"/>
      <c r="CF65" s="24">
        <f>+'[5]NOVIEMBRE 2016'!$H$3905+'[5]NOVIEMBRE 2016'!$H$3906+'[5]NOVIEMBRE 2016'!$H$3916+'[5]NOVIEMBRE 2016'!$H$3922</f>
        <v>20000000</v>
      </c>
      <c r="CG65" s="24"/>
      <c r="CH65" s="24"/>
      <c r="CI65" s="24"/>
      <c r="CJ65" s="24"/>
      <c r="CK65" s="24"/>
      <c r="CL65" s="24"/>
      <c r="CM65" s="24"/>
      <c r="CN65" s="25">
        <f t="shared" si="12"/>
        <v>4.111539130434827E-3</v>
      </c>
      <c r="CO65" s="24">
        <f t="shared" si="81"/>
        <v>472827</v>
      </c>
      <c r="CP65" s="24">
        <f t="shared" si="82"/>
        <v>0</v>
      </c>
      <c r="CQ65" s="24">
        <f t="shared" si="82"/>
        <v>0</v>
      </c>
      <c r="CR65" s="24">
        <f t="shared" si="82"/>
        <v>0</v>
      </c>
      <c r="CS65" s="24">
        <f t="shared" si="82"/>
        <v>472827</v>
      </c>
      <c r="CT65" s="24">
        <f t="shared" si="82"/>
        <v>0</v>
      </c>
      <c r="CU65" s="24">
        <f t="shared" si="82"/>
        <v>0</v>
      </c>
      <c r="CV65" s="24">
        <f t="shared" si="83"/>
        <v>0</v>
      </c>
      <c r="CW65" s="24">
        <f t="shared" si="83"/>
        <v>0</v>
      </c>
      <c r="CX65" s="24">
        <f t="shared" si="83"/>
        <v>0</v>
      </c>
      <c r="CY65" s="24">
        <f t="shared" si="84"/>
        <v>0</v>
      </c>
      <c r="CZ65" s="24">
        <f t="shared" si="84"/>
        <v>0</v>
      </c>
      <c r="DA65" s="24">
        <f t="shared" si="84"/>
        <v>0</v>
      </c>
      <c r="DB65" s="24">
        <f t="shared" si="85"/>
        <v>0</v>
      </c>
      <c r="DC65" s="24">
        <f t="shared" si="85"/>
        <v>0</v>
      </c>
      <c r="DD65" s="24">
        <f t="shared" si="85"/>
        <v>0</v>
      </c>
      <c r="DE65" s="24"/>
      <c r="DF65" s="24">
        <f t="shared" si="86"/>
        <v>0</v>
      </c>
      <c r="DG65" s="54">
        <f t="shared" si="86"/>
        <v>0</v>
      </c>
      <c r="DH65" s="24">
        <f t="shared" si="86"/>
        <v>0</v>
      </c>
      <c r="DJ65" s="194"/>
      <c r="DK65" s="194"/>
      <c r="DL65" s="198"/>
      <c r="DM65" s="199"/>
      <c r="DN65" s="200"/>
    </row>
    <row r="66" spans="1:118" ht="33.75" hidden="1" customHeight="1" x14ac:dyDescent="0.25">
      <c r="A66" s="237"/>
      <c r="B66" s="240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4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0.91680210635960246</v>
      </c>
      <c r="AB66" s="24">
        <f t="shared" si="87"/>
        <v>372131297</v>
      </c>
      <c r="AC66" s="24"/>
      <c r="AD66" s="24"/>
      <c r="AE66" s="24"/>
      <c r="AF66" s="24"/>
      <c r="AG66" s="24">
        <f>+'[4]DICIEMBRE 2016'!$O$4131</f>
        <v>157483417</v>
      </c>
      <c r="AH66" s="24"/>
      <c r="AI66" s="24"/>
      <c r="AJ66" s="24"/>
      <c r="AK66" s="24"/>
      <c r="AL66" s="24"/>
      <c r="AM66" s="24"/>
      <c r="AN66" s="24">
        <f>+'[4]DICIEMBRE 2016'!$V$4131</f>
        <v>214647880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8.3197893640397536E-2</v>
      </c>
      <c r="AX66" s="24">
        <f t="shared" si="75"/>
        <v>33770145</v>
      </c>
      <c r="AY66" s="24">
        <f t="shared" si="76"/>
        <v>0</v>
      </c>
      <c r="AZ66" s="24">
        <f t="shared" si="76"/>
        <v>0</v>
      </c>
      <c r="BA66" s="24">
        <f t="shared" si="76"/>
        <v>0</v>
      </c>
      <c r="BB66" s="24">
        <f t="shared" si="77"/>
        <v>4418025</v>
      </c>
      <c r="BC66" s="24">
        <f t="shared" si="77"/>
        <v>0</v>
      </c>
      <c r="BD66" s="24">
        <f t="shared" si="77"/>
        <v>0</v>
      </c>
      <c r="BE66" s="24">
        <f>N66-AJ66</f>
        <v>0</v>
      </c>
      <c r="BF66" s="24">
        <f t="shared" si="77"/>
        <v>0</v>
      </c>
      <c r="BG66" s="24">
        <f t="shared" si="77"/>
        <v>0</v>
      </c>
      <c r="BH66" s="24">
        <f t="shared" si="77"/>
        <v>0</v>
      </c>
      <c r="BI66" s="24">
        <f t="shared" si="77"/>
        <v>29352120</v>
      </c>
      <c r="BJ66" s="24">
        <f t="shared" si="77"/>
        <v>0</v>
      </c>
      <c r="BK66" s="24">
        <f>T66-AP66</f>
        <v>0</v>
      </c>
      <c r="BL66" s="24">
        <f t="shared" si="77"/>
        <v>0</v>
      </c>
      <c r="BM66" s="24">
        <f t="shared" si="77"/>
        <v>0</v>
      </c>
      <c r="BN66" s="24"/>
      <c r="BO66" s="24"/>
      <c r="BP66" s="24">
        <f t="shared" si="78"/>
        <v>0</v>
      </c>
      <c r="BQ66" s="24">
        <f t="shared" si="79"/>
        <v>0</v>
      </c>
      <c r="BR66" s="25">
        <f t="shared" si="10"/>
        <v>0.91680210635960246</v>
      </c>
      <c r="BS66" s="24">
        <f t="shared" si="80"/>
        <v>372131297</v>
      </c>
      <c r="BT66" s="24"/>
      <c r="BU66" s="24"/>
      <c r="BV66" s="24"/>
      <c r="BW66" s="24"/>
      <c r="BX66" s="24">
        <f>+'[2]DICIEMBRE 2016'!$O$4129</f>
        <v>157483417</v>
      </c>
      <c r="BY66" s="24"/>
      <c r="BZ66" s="24"/>
      <c r="CA66" s="24"/>
      <c r="CB66" s="24"/>
      <c r="CC66" s="24"/>
      <c r="CD66" s="24"/>
      <c r="CE66" s="24">
        <f>+'[4]DICIEMBRE 2016'!$V$4131</f>
        <v>214647880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12"/>
        <v>8.3197893640397536E-2</v>
      </c>
      <c r="CO66" s="24">
        <f t="shared" si="81"/>
        <v>33770145</v>
      </c>
      <c r="CP66" s="24">
        <f t="shared" si="82"/>
        <v>0</v>
      </c>
      <c r="CQ66" s="24">
        <f t="shared" si="82"/>
        <v>0</v>
      </c>
      <c r="CR66" s="24">
        <f t="shared" si="82"/>
        <v>0</v>
      </c>
      <c r="CS66" s="24">
        <f t="shared" si="82"/>
        <v>4418025</v>
      </c>
      <c r="CT66" s="24">
        <f t="shared" si="82"/>
        <v>0</v>
      </c>
      <c r="CU66" s="24">
        <f t="shared" si="82"/>
        <v>0</v>
      </c>
      <c r="CV66" s="24">
        <f t="shared" si="83"/>
        <v>0</v>
      </c>
      <c r="CW66" s="24">
        <f t="shared" si="83"/>
        <v>0</v>
      </c>
      <c r="CX66" s="24">
        <f t="shared" si="83"/>
        <v>0</v>
      </c>
      <c r="CY66" s="24">
        <f t="shared" si="84"/>
        <v>0</v>
      </c>
      <c r="CZ66" s="24">
        <f t="shared" si="84"/>
        <v>29352120</v>
      </c>
      <c r="DA66" s="24">
        <f t="shared" si="84"/>
        <v>0</v>
      </c>
      <c r="DB66" s="24">
        <f t="shared" si="85"/>
        <v>0</v>
      </c>
      <c r="DC66" s="24">
        <f t="shared" si="85"/>
        <v>0</v>
      </c>
      <c r="DD66" s="24">
        <f t="shared" si="85"/>
        <v>0</v>
      </c>
      <c r="DE66" s="24"/>
      <c r="DF66" s="24">
        <f t="shared" si="86"/>
        <v>0</v>
      </c>
      <c r="DG66" s="54">
        <f t="shared" si="86"/>
        <v>0</v>
      </c>
      <c r="DH66" s="24">
        <f t="shared" si="86"/>
        <v>0</v>
      </c>
      <c r="DJ66" s="194"/>
      <c r="DK66" s="194"/>
      <c r="DL66" s="198"/>
      <c r="DM66" s="199"/>
      <c r="DN66" s="200"/>
    </row>
    <row r="67" spans="1:118" ht="30.75" hidden="1" customHeight="1" x14ac:dyDescent="0.25">
      <c r="A67" s="237"/>
      <c r="B67" s="240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4"/>
        <v>18000000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8000000+3000000+10000000-3000000</f>
        <v>18000000</v>
      </c>
      <c r="AA67" s="25">
        <f t="shared" si="1"/>
        <v>0.98928400000000005</v>
      </c>
      <c r="AB67" s="24">
        <f t="shared" si="87"/>
        <v>17807112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+'[4]DICIEMBRE 2016'!$AG$4308</f>
        <v>17807112</v>
      </c>
      <c r="AW67" s="25">
        <f t="shared" si="3"/>
        <v>1.0715999999999948E-2</v>
      </c>
      <c r="AX67" s="24">
        <f t="shared" si="75"/>
        <v>192888</v>
      </c>
      <c r="AY67" s="24">
        <f t="shared" si="76"/>
        <v>0</v>
      </c>
      <c r="AZ67" s="24">
        <f t="shared" si="76"/>
        <v>0</v>
      </c>
      <c r="BA67" s="24">
        <f t="shared" si="76"/>
        <v>0</v>
      </c>
      <c r="BB67" s="24">
        <f t="shared" si="77"/>
        <v>0</v>
      </c>
      <c r="BC67" s="24">
        <f t="shared" si="77"/>
        <v>0</v>
      </c>
      <c r="BD67" s="24">
        <f t="shared" si="77"/>
        <v>0</v>
      </c>
      <c r="BE67" s="24">
        <f>N67-AJ67</f>
        <v>0</v>
      </c>
      <c r="BF67" s="24">
        <f t="shared" si="77"/>
        <v>0</v>
      </c>
      <c r="BG67" s="24">
        <f t="shared" si="77"/>
        <v>0</v>
      </c>
      <c r="BH67" s="24">
        <f t="shared" si="77"/>
        <v>0</v>
      </c>
      <c r="BI67" s="24">
        <f t="shared" si="77"/>
        <v>0</v>
      </c>
      <c r="BJ67" s="24">
        <f t="shared" si="77"/>
        <v>0</v>
      </c>
      <c r="BK67" s="24">
        <f>T67-AP67</f>
        <v>0</v>
      </c>
      <c r="BL67" s="24">
        <f t="shared" si="77"/>
        <v>0</v>
      </c>
      <c r="BM67" s="24">
        <f t="shared" si="77"/>
        <v>0</v>
      </c>
      <c r="BN67" s="24"/>
      <c r="BO67" s="24"/>
      <c r="BP67" s="24">
        <f t="shared" si="78"/>
        <v>0</v>
      </c>
      <c r="BQ67" s="24">
        <f t="shared" si="79"/>
        <v>192888</v>
      </c>
      <c r="BR67" s="25">
        <f t="shared" si="10"/>
        <v>0.98928400000000005</v>
      </c>
      <c r="BS67" s="24">
        <f t="shared" si="80"/>
        <v>17807112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+'[4]DICIEMBRE 2016'!$AG$4308</f>
        <v>17807112</v>
      </c>
      <c r="CN67" s="25">
        <f t="shared" si="12"/>
        <v>1.0715999999999948E-2</v>
      </c>
      <c r="CO67" s="24">
        <f t="shared" si="81"/>
        <v>192888</v>
      </c>
      <c r="CP67" s="24">
        <f t="shared" si="82"/>
        <v>0</v>
      </c>
      <c r="CQ67" s="24">
        <f t="shared" si="82"/>
        <v>0</v>
      </c>
      <c r="CR67" s="24">
        <f t="shared" si="82"/>
        <v>0</v>
      </c>
      <c r="CS67" s="24">
        <f t="shared" si="82"/>
        <v>0</v>
      </c>
      <c r="CT67" s="24">
        <f t="shared" si="82"/>
        <v>0</v>
      </c>
      <c r="CU67" s="24">
        <f t="shared" si="82"/>
        <v>0</v>
      </c>
      <c r="CV67" s="24">
        <f t="shared" si="83"/>
        <v>0</v>
      </c>
      <c r="CW67" s="24">
        <f t="shared" si="83"/>
        <v>0</v>
      </c>
      <c r="CX67" s="24">
        <f t="shared" si="83"/>
        <v>0</v>
      </c>
      <c r="CY67" s="24">
        <f t="shared" si="84"/>
        <v>0</v>
      </c>
      <c r="CZ67" s="24">
        <f t="shared" si="84"/>
        <v>0</v>
      </c>
      <c r="DA67" s="24">
        <f t="shared" si="84"/>
        <v>0</v>
      </c>
      <c r="DB67" s="24">
        <f t="shared" si="85"/>
        <v>0</v>
      </c>
      <c r="DC67" s="24">
        <f t="shared" si="85"/>
        <v>0</v>
      </c>
      <c r="DD67" s="24">
        <f t="shared" si="85"/>
        <v>0</v>
      </c>
      <c r="DE67" s="24"/>
      <c r="DF67" s="24">
        <f t="shared" si="86"/>
        <v>0</v>
      </c>
      <c r="DG67" s="54">
        <f t="shared" si="86"/>
        <v>0</v>
      </c>
      <c r="DH67" s="24">
        <f t="shared" si="86"/>
        <v>192888</v>
      </c>
      <c r="DJ67" s="194"/>
      <c r="DK67" s="194"/>
      <c r="DL67" s="198"/>
      <c r="DM67" s="199"/>
      <c r="DN67" s="200"/>
    </row>
    <row r="68" spans="1:118" ht="34.5" hidden="1" customHeight="1" x14ac:dyDescent="0.25">
      <c r="A68" s="237"/>
      <c r="B68" s="240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4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88">+AB68/G68</f>
        <v>0.81875084291993694</v>
      </c>
      <c r="AB68" s="24">
        <f t="shared" si="87"/>
        <v>6963200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+'[4]DICIEMBRE 2016'!$AG$4342</f>
        <v>6963200</v>
      </c>
      <c r="AW68" s="25">
        <f t="shared" si="3"/>
        <v>0.18124915708006306</v>
      </c>
      <c r="AX68" s="24">
        <f t="shared" si="75"/>
        <v>1541463</v>
      </c>
      <c r="AY68" s="24">
        <f t="shared" si="76"/>
        <v>0</v>
      </c>
      <c r="AZ68" s="24">
        <f t="shared" si="76"/>
        <v>0</v>
      </c>
      <c r="BA68" s="24">
        <f t="shared" si="76"/>
        <v>0</v>
      </c>
      <c r="BB68" s="24">
        <f t="shared" si="77"/>
        <v>0</v>
      </c>
      <c r="BC68" s="24">
        <f t="shared" si="77"/>
        <v>0</v>
      </c>
      <c r="BD68" s="24">
        <f t="shared" si="77"/>
        <v>0</v>
      </c>
      <c r="BE68" s="24">
        <f>N68-AJ68</f>
        <v>0</v>
      </c>
      <c r="BF68" s="24">
        <f t="shared" si="77"/>
        <v>0</v>
      </c>
      <c r="BG68" s="24">
        <f t="shared" si="77"/>
        <v>0</v>
      </c>
      <c r="BH68" s="24">
        <f t="shared" si="77"/>
        <v>0</v>
      </c>
      <c r="BI68" s="24">
        <f t="shared" si="77"/>
        <v>0</v>
      </c>
      <c r="BJ68" s="24">
        <f t="shared" si="77"/>
        <v>0</v>
      </c>
      <c r="BK68" s="24">
        <f>T68-AP68</f>
        <v>0</v>
      </c>
      <c r="BL68" s="24">
        <f t="shared" si="77"/>
        <v>0</v>
      </c>
      <c r="BM68" s="24">
        <f t="shared" si="77"/>
        <v>0</v>
      </c>
      <c r="BN68" s="24"/>
      <c r="BO68" s="24"/>
      <c r="BP68" s="24">
        <f t="shared" si="78"/>
        <v>0</v>
      </c>
      <c r="BQ68" s="24">
        <f t="shared" si="79"/>
        <v>1541463</v>
      </c>
      <c r="BR68" s="25">
        <f t="shared" ref="BR68:BR93" si="89">+BS68/G68</f>
        <v>0.81875084291993694</v>
      </c>
      <c r="BS68" s="24">
        <f t="shared" si="80"/>
        <v>6963200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+'[4]DICIEMBRE 2016'!$AG$4342</f>
        <v>6963200</v>
      </c>
      <c r="CN68" s="25">
        <f t="shared" ref="CN68:CN93" si="90">1-BR68</f>
        <v>0.18124915708006306</v>
      </c>
      <c r="CO68" s="24">
        <f t="shared" si="81"/>
        <v>1541463</v>
      </c>
      <c r="CP68" s="24">
        <f t="shared" si="82"/>
        <v>0</v>
      </c>
      <c r="CQ68" s="24">
        <f t="shared" si="82"/>
        <v>0</v>
      </c>
      <c r="CR68" s="24">
        <f t="shared" si="82"/>
        <v>0</v>
      </c>
      <c r="CS68" s="24">
        <f t="shared" si="82"/>
        <v>0</v>
      </c>
      <c r="CT68" s="24">
        <f t="shared" si="82"/>
        <v>0</v>
      </c>
      <c r="CU68" s="24">
        <f t="shared" si="82"/>
        <v>0</v>
      </c>
      <c r="CV68" s="24">
        <f t="shared" si="83"/>
        <v>0</v>
      </c>
      <c r="CW68" s="24">
        <f t="shared" si="83"/>
        <v>0</v>
      </c>
      <c r="CX68" s="24">
        <f t="shared" si="83"/>
        <v>0</v>
      </c>
      <c r="CY68" s="24">
        <f t="shared" si="84"/>
        <v>0</v>
      </c>
      <c r="CZ68" s="24">
        <f t="shared" si="84"/>
        <v>0</v>
      </c>
      <c r="DA68" s="24">
        <f t="shared" si="84"/>
        <v>0</v>
      </c>
      <c r="DB68" s="24">
        <f t="shared" si="85"/>
        <v>0</v>
      </c>
      <c r="DC68" s="24">
        <f t="shared" si="85"/>
        <v>0</v>
      </c>
      <c r="DD68" s="24">
        <f t="shared" si="85"/>
        <v>0</v>
      </c>
      <c r="DE68" s="24"/>
      <c r="DF68" s="24">
        <f t="shared" si="86"/>
        <v>0</v>
      </c>
      <c r="DG68" s="54">
        <f t="shared" si="86"/>
        <v>0</v>
      </c>
      <c r="DH68" s="24">
        <f t="shared" si="86"/>
        <v>1541463</v>
      </c>
      <c r="DJ68" s="194"/>
      <c r="DK68" s="194"/>
      <c r="DL68" s="198"/>
      <c r="DM68" s="199"/>
      <c r="DN68" s="200"/>
    </row>
    <row r="69" spans="1:118" ht="35.25" hidden="1" customHeight="1" x14ac:dyDescent="0.25">
      <c r="A69" s="237"/>
      <c r="B69" s="240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4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88"/>
        <v>0.60246900000000003</v>
      </c>
      <c r="AB69" s="24">
        <f t="shared" si="87"/>
        <v>602469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+'[4]DICIEMBRE 2016'!$G$4352</f>
        <v>602469</v>
      </c>
      <c r="AW69" s="25">
        <f t="shared" si="3"/>
        <v>0.39753099999999997</v>
      </c>
      <c r="AX69" s="24">
        <f t="shared" si="75"/>
        <v>397531</v>
      </c>
      <c r="AY69" s="24">
        <f t="shared" si="76"/>
        <v>0</v>
      </c>
      <c r="AZ69" s="24">
        <f t="shared" si="76"/>
        <v>0</v>
      </c>
      <c r="BA69" s="24">
        <f t="shared" si="76"/>
        <v>0</v>
      </c>
      <c r="BB69" s="24">
        <f t="shared" si="77"/>
        <v>0</v>
      </c>
      <c r="BC69" s="24">
        <f t="shared" si="77"/>
        <v>0</v>
      </c>
      <c r="BD69" s="24">
        <f t="shared" si="77"/>
        <v>0</v>
      </c>
      <c r="BE69" s="24">
        <f>+N69-AJ69</f>
        <v>0</v>
      </c>
      <c r="BF69" s="24">
        <f t="shared" si="77"/>
        <v>0</v>
      </c>
      <c r="BG69" s="24">
        <f t="shared" si="77"/>
        <v>0</v>
      </c>
      <c r="BH69" s="24">
        <f t="shared" si="77"/>
        <v>0</v>
      </c>
      <c r="BI69" s="24">
        <f t="shared" si="77"/>
        <v>0</v>
      </c>
      <c r="BJ69" s="24">
        <f t="shared" si="77"/>
        <v>0</v>
      </c>
      <c r="BK69" s="24">
        <f>+T69-AP69</f>
        <v>0</v>
      </c>
      <c r="BL69" s="24">
        <f t="shared" si="77"/>
        <v>0</v>
      </c>
      <c r="BM69" s="24">
        <f t="shared" si="77"/>
        <v>0</v>
      </c>
      <c r="BN69" s="24"/>
      <c r="BO69" s="24">
        <f>+X69-AT69</f>
        <v>0</v>
      </c>
      <c r="BP69" s="24">
        <f t="shared" si="78"/>
        <v>0</v>
      </c>
      <c r="BQ69" s="24">
        <f t="shared" si="79"/>
        <v>397531</v>
      </c>
      <c r="BR69" s="25">
        <f t="shared" si="89"/>
        <v>0.60246900000000003</v>
      </c>
      <c r="BS69" s="24">
        <f t="shared" si="80"/>
        <v>602469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+'[4]DICIEMBRE 2016'!$AG$4354</f>
        <v>602469</v>
      </c>
      <c r="CN69" s="25">
        <f t="shared" si="90"/>
        <v>0.39753099999999997</v>
      </c>
      <c r="CO69" s="24">
        <f t="shared" si="81"/>
        <v>397531</v>
      </c>
      <c r="CP69" s="24">
        <f t="shared" si="82"/>
        <v>0</v>
      </c>
      <c r="CQ69" s="24">
        <f t="shared" si="82"/>
        <v>0</v>
      </c>
      <c r="CR69" s="24">
        <f t="shared" si="82"/>
        <v>0</v>
      </c>
      <c r="CS69" s="24">
        <f t="shared" si="82"/>
        <v>0</v>
      </c>
      <c r="CT69" s="24">
        <f t="shared" si="82"/>
        <v>0</v>
      </c>
      <c r="CU69" s="24">
        <f t="shared" si="82"/>
        <v>0</v>
      </c>
      <c r="CV69" s="24">
        <f t="shared" si="83"/>
        <v>0</v>
      </c>
      <c r="CW69" s="24">
        <f t="shared" si="83"/>
        <v>0</v>
      </c>
      <c r="CX69" s="24">
        <f t="shared" si="83"/>
        <v>0</v>
      </c>
      <c r="CY69" s="24">
        <f t="shared" si="84"/>
        <v>0</v>
      </c>
      <c r="CZ69" s="24">
        <f t="shared" si="84"/>
        <v>0</v>
      </c>
      <c r="DA69" s="24">
        <f t="shared" si="84"/>
        <v>0</v>
      </c>
      <c r="DB69" s="24">
        <f t="shared" si="85"/>
        <v>0</v>
      </c>
      <c r="DC69" s="24">
        <f t="shared" si="85"/>
        <v>0</v>
      </c>
      <c r="DD69" s="24">
        <f t="shared" si="85"/>
        <v>0</v>
      </c>
      <c r="DE69" s="24"/>
      <c r="DF69" s="24">
        <f t="shared" si="86"/>
        <v>0</v>
      </c>
      <c r="DG69" s="54">
        <f t="shared" si="86"/>
        <v>0</v>
      </c>
      <c r="DH69" s="24">
        <f t="shared" si="86"/>
        <v>397531</v>
      </c>
      <c r="DJ69" s="194"/>
      <c r="DK69" s="194"/>
      <c r="DL69" s="198"/>
      <c r="DM69" s="199"/>
      <c r="DN69" s="200"/>
    </row>
    <row r="70" spans="1:118" ht="76.5" hidden="1" customHeight="1" x14ac:dyDescent="0.25">
      <c r="A70" s="237"/>
      <c r="B70" s="240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4"/>
        <v>500018694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267022558+25000000+11804220+35899362+2954659+41266345-11804220+4000000+896074+17250000+7067000+8662696+46000000+11000000+3000000</f>
        <v>470018694</v>
      </c>
      <c r="AA70" s="25">
        <f t="shared" si="88"/>
        <v>0.9815855944777937</v>
      </c>
      <c r="AB70" s="24">
        <f t="shared" si="87"/>
        <v>490811147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+'[4]DICIEMBRE 2016'!$W$4361</f>
        <v>26900225</v>
      </c>
      <c r="AP70" s="24"/>
      <c r="AQ70" s="24"/>
      <c r="AR70" s="24"/>
      <c r="AS70" s="24"/>
      <c r="AT70" s="24"/>
      <c r="AU70" s="24"/>
      <c r="AV70" s="24">
        <f>+'[4]DICIEMBRE 2016'!$AG$4361</f>
        <v>463910922</v>
      </c>
      <c r="AW70" s="25">
        <f t="shared" ref="AW70:AW93" si="91">1-AA70</f>
        <v>1.8414405522206301E-2</v>
      </c>
      <c r="AX70" s="24">
        <f t="shared" si="75"/>
        <v>9207547</v>
      </c>
      <c r="AY70" s="24">
        <f t="shared" si="76"/>
        <v>0</v>
      </c>
      <c r="AZ70" s="24">
        <f t="shared" si="76"/>
        <v>0</v>
      </c>
      <c r="BA70" s="24">
        <f t="shared" si="76"/>
        <v>0</v>
      </c>
      <c r="BB70" s="24">
        <f t="shared" si="77"/>
        <v>0</v>
      </c>
      <c r="BC70" s="24">
        <f t="shared" si="77"/>
        <v>0</v>
      </c>
      <c r="BD70" s="24">
        <f t="shared" si="77"/>
        <v>0</v>
      </c>
      <c r="BE70" s="24">
        <f>+N70-AJ70</f>
        <v>0</v>
      </c>
      <c r="BF70" s="24">
        <f t="shared" si="77"/>
        <v>0</v>
      </c>
      <c r="BG70" s="24">
        <f t="shared" si="77"/>
        <v>0</v>
      </c>
      <c r="BH70" s="24">
        <f t="shared" si="77"/>
        <v>0</v>
      </c>
      <c r="BI70" s="24">
        <f t="shared" si="77"/>
        <v>0</v>
      </c>
      <c r="BJ70" s="24">
        <f t="shared" si="77"/>
        <v>3099775</v>
      </c>
      <c r="BK70" s="24">
        <f>+T70-AP70</f>
        <v>0</v>
      </c>
      <c r="BL70" s="24">
        <f t="shared" si="77"/>
        <v>0</v>
      </c>
      <c r="BM70" s="24">
        <f t="shared" si="77"/>
        <v>0</v>
      </c>
      <c r="BN70" s="24"/>
      <c r="BO70" s="24"/>
      <c r="BP70" s="24">
        <f t="shared" si="78"/>
        <v>0</v>
      </c>
      <c r="BQ70" s="24">
        <f t="shared" si="79"/>
        <v>6107772</v>
      </c>
      <c r="BR70" s="25">
        <f t="shared" si="89"/>
        <v>0.9815855944777937</v>
      </c>
      <c r="BS70" s="24">
        <f t="shared" si="80"/>
        <v>490811147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+'[4]DICIEMBRE 2016'!$W$4361</f>
        <v>26900225</v>
      </c>
      <c r="CG70" s="24"/>
      <c r="CH70" s="24"/>
      <c r="CI70" s="24"/>
      <c r="CJ70" s="24"/>
      <c r="CK70" s="24"/>
      <c r="CL70" s="24"/>
      <c r="CM70" s="24">
        <f>+'[4]DICIEMBRE 2016'!$AG$4361</f>
        <v>463910922</v>
      </c>
      <c r="CN70" s="25">
        <f t="shared" si="90"/>
        <v>1.8414405522206301E-2</v>
      </c>
      <c r="CO70" s="24">
        <f t="shared" si="81"/>
        <v>9207547</v>
      </c>
      <c r="CP70" s="24">
        <f t="shared" si="82"/>
        <v>0</v>
      </c>
      <c r="CQ70" s="24">
        <f t="shared" si="82"/>
        <v>0</v>
      </c>
      <c r="CR70" s="24">
        <f t="shared" si="82"/>
        <v>0</v>
      </c>
      <c r="CS70" s="24">
        <f t="shared" si="82"/>
        <v>0</v>
      </c>
      <c r="CT70" s="24">
        <f t="shared" si="82"/>
        <v>0</v>
      </c>
      <c r="CU70" s="24">
        <f t="shared" si="82"/>
        <v>0</v>
      </c>
      <c r="CV70" s="24">
        <f t="shared" si="83"/>
        <v>0</v>
      </c>
      <c r="CW70" s="24">
        <f t="shared" si="83"/>
        <v>0</v>
      </c>
      <c r="CX70" s="24">
        <f t="shared" si="83"/>
        <v>0</v>
      </c>
      <c r="CY70" s="24">
        <f t="shared" si="84"/>
        <v>0</v>
      </c>
      <c r="CZ70" s="24">
        <f t="shared" si="84"/>
        <v>0</v>
      </c>
      <c r="DA70" s="24">
        <f t="shared" si="84"/>
        <v>3099775</v>
      </c>
      <c r="DB70" s="24">
        <f t="shared" si="85"/>
        <v>0</v>
      </c>
      <c r="DC70" s="24">
        <f t="shared" si="85"/>
        <v>0</v>
      </c>
      <c r="DD70" s="24">
        <f t="shared" si="85"/>
        <v>0</v>
      </c>
      <c r="DE70" s="24"/>
      <c r="DF70" s="24">
        <f t="shared" si="86"/>
        <v>0</v>
      </c>
      <c r="DG70" s="54">
        <f t="shared" si="86"/>
        <v>0</v>
      </c>
      <c r="DH70" s="24">
        <f t="shared" si="86"/>
        <v>6107772</v>
      </c>
      <c r="DJ70" s="194"/>
      <c r="DK70" s="194"/>
      <c r="DL70" s="198"/>
      <c r="DM70" s="199"/>
      <c r="DN70" s="200"/>
    </row>
    <row r="71" spans="1:118" ht="36" hidden="1" customHeight="1" x14ac:dyDescent="0.25">
      <c r="A71" s="237"/>
      <c r="B71" s="240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4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88"/>
        <v>0.33956819999999999</v>
      </c>
      <c r="AB71" s="24">
        <f t="shared" si="87"/>
        <v>6791364</v>
      </c>
      <c r="AC71" s="24"/>
      <c r="AD71" s="24"/>
      <c r="AE71" s="24"/>
      <c r="AF71" s="24"/>
      <c r="AG71" s="24">
        <f>+'[4]DICIEMBRE 2016'!$O$4526</f>
        <v>6791364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1"/>
        <v>0.66043180000000001</v>
      </c>
      <c r="AX71" s="24">
        <f t="shared" si="75"/>
        <v>13208636</v>
      </c>
      <c r="AY71" s="24">
        <f t="shared" si="76"/>
        <v>0</v>
      </c>
      <c r="AZ71" s="24">
        <f t="shared" si="76"/>
        <v>0</v>
      </c>
      <c r="BA71" s="24">
        <f t="shared" si="76"/>
        <v>0</v>
      </c>
      <c r="BB71" s="24">
        <f t="shared" si="76"/>
        <v>13208636</v>
      </c>
      <c r="BC71" s="24">
        <f t="shared" si="76"/>
        <v>0</v>
      </c>
      <c r="BD71" s="24">
        <f t="shared" si="76"/>
        <v>0</v>
      </c>
      <c r="BE71" s="24">
        <f t="shared" si="76"/>
        <v>0</v>
      </c>
      <c r="BF71" s="24">
        <f t="shared" si="76"/>
        <v>0</v>
      </c>
      <c r="BG71" s="24">
        <f t="shared" si="76"/>
        <v>0</v>
      </c>
      <c r="BH71" s="24">
        <f t="shared" si="76"/>
        <v>0</v>
      </c>
      <c r="BI71" s="24">
        <f t="shared" si="76"/>
        <v>0</v>
      </c>
      <c r="BJ71" s="24">
        <f t="shared" si="76"/>
        <v>0</v>
      </c>
      <c r="BK71" s="24">
        <f t="shared" si="76"/>
        <v>0</v>
      </c>
      <c r="BL71" s="24">
        <f t="shared" si="76"/>
        <v>0</v>
      </c>
      <c r="BM71" s="24">
        <f t="shared" si="76"/>
        <v>0</v>
      </c>
      <c r="BN71" s="24"/>
      <c r="BO71" s="24">
        <f>X71-AT71</f>
        <v>0</v>
      </c>
      <c r="BP71" s="24">
        <f t="shared" si="78"/>
        <v>0</v>
      </c>
      <c r="BQ71" s="24">
        <f>Z71-AV71</f>
        <v>0</v>
      </c>
      <c r="BR71" s="25">
        <f t="shared" si="89"/>
        <v>0.33956819999999999</v>
      </c>
      <c r="BS71" s="24">
        <f t="shared" si="80"/>
        <v>6791364</v>
      </c>
      <c r="BT71" s="24"/>
      <c r="BU71" s="24"/>
      <c r="BV71" s="24"/>
      <c r="BW71" s="24"/>
      <c r="BX71" s="24">
        <f>+'[4]DICIEMBRE 2016'!$H$4524</f>
        <v>6791364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90"/>
        <v>0.66043180000000001</v>
      </c>
      <c r="CO71" s="24">
        <f t="shared" si="81"/>
        <v>13208636</v>
      </c>
      <c r="CP71" s="24">
        <f t="shared" si="82"/>
        <v>0</v>
      </c>
      <c r="CQ71" s="24">
        <f t="shared" si="82"/>
        <v>0</v>
      </c>
      <c r="CR71" s="24">
        <f t="shared" si="82"/>
        <v>0</v>
      </c>
      <c r="CS71" s="24">
        <f t="shared" si="82"/>
        <v>13208636</v>
      </c>
      <c r="CT71" s="24">
        <f t="shared" si="82"/>
        <v>0</v>
      </c>
      <c r="CU71" s="24">
        <f t="shared" si="82"/>
        <v>0</v>
      </c>
      <c r="CV71" s="24">
        <f t="shared" si="82"/>
        <v>0</v>
      </c>
      <c r="CW71" s="24">
        <f t="shared" si="82"/>
        <v>0</v>
      </c>
      <c r="CX71" s="24">
        <f t="shared" si="82"/>
        <v>0</v>
      </c>
      <c r="CY71" s="24">
        <f t="shared" si="84"/>
        <v>0</v>
      </c>
      <c r="CZ71" s="24">
        <f t="shared" si="84"/>
        <v>0</v>
      </c>
      <c r="DA71" s="24">
        <f t="shared" si="84"/>
        <v>0</v>
      </c>
      <c r="DB71" s="24">
        <f t="shared" si="84"/>
        <v>0</v>
      </c>
      <c r="DC71" s="24">
        <f t="shared" si="84"/>
        <v>0</v>
      </c>
      <c r="DD71" s="24">
        <f t="shared" si="84"/>
        <v>0</v>
      </c>
      <c r="DE71" s="24"/>
      <c r="DF71" s="24">
        <f t="shared" ref="DF71:DH72" si="92">X71-CK71</f>
        <v>0</v>
      </c>
      <c r="DG71" s="24">
        <f t="shared" si="92"/>
        <v>0</v>
      </c>
      <c r="DH71" s="24">
        <f t="shared" si="92"/>
        <v>0</v>
      </c>
      <c r="DJ71" s="194"/>
      <c r="DK71" s="194"/>
      <c r="DL71" s="198"/>
      <c r="DM71" s="199"/>
      <c r="DN71" s="200"/>
    </row>
    <row r="72" spans="1:118" ht="34.5" hidden="1" customHeight="1" x14ac:dyDescent="0.25">
      <c r="A72" s="238"/>
      <c r="B72" s="241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4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88"/>
        <v>0.92382905000000004</v>
      </c>
      <c r="AB72" s="24">
        <f t="shared" si="87"/>
        <v>18476581</v>
      </c>
      <c r="AC72" s="24"/>
      <c r="AD72" s="24"/>
      <c r="AE72" s="24"/>
      <c r="AF72" s="24"/>
      <c r="AG72" s="24">
        <f>+'[2]DICIEMBRE 2016'!$O$4535</f>
        <v>18476581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1"/>
        <v>7.617094999999996E-2</v>
      </c>
      <c r="AX72" s="24">
        <f t="shared" si="75"/>
        <v>1523419</v>
      </c>
      <c r="AY72" s="24">
        <f t="shared" si="76"/>
        <v>0</v>
      </c>
      <c r="AZ72" s="24">
        <f t="shared" si="76"/>
        <v>0</v>
      </c>
      <c r="BA72" s="24">
        <f t="shared" si="76"/>
        <v>0</v>
      </c>
      <c r="BB72" s="24">
        <f t="shared" si="76"/>
        <v>1523419</v>
      </c>
      <c r="BC72" s="24">
        <f t="shared" si="76"/>
        <v>0</v>
      </c>
      <c r="BD72" s="24">
        <f t="shared" si="76"/>
        <v>0</v>
      </c>
      <c r="BE72" s="24">
        <f t="shared" si="76"/>
        <v>0</v>
      </c>
      <c r="BF72" s="24">
        <f t="shared" si="76"/>
        <v>0</v>
      </c>
      <c r="BG72" s="24">
        <f t="shared" si="76"/>
        <v>0</v>
      </c>
      <c r="BH72" s="24">
        <f t="shared" si="76"/>
        <v>0</v>
      </c>
      <c r="BI72" s="24">
        <f t="shared" si="76"/>
        <v>0</v>
      </c>
      <c r="BJ72" s="24">
        <f t="shared" si="76"/>
        <v>0</v>
      </c>
      <c r="BK72" s="24">
        <f t="shared" si="76"/>
        <v>0</v>
      </c>
      <c r="BL72" s="24">
        <f t="shared" si="76"/>
        <v>0</v>
      </c>
      <c r="BM72" s="24">
        <f t="shared" si="76"/>
        <v>0</v>
      </c>
      <c r="BN72" s="24"/>
      <c r="BO72" s="24">
        <f>X72-AT72</f>
        <v>0</v>
      </c>
      <c r="BP72" s="24">
        <f t="shared" si="78"/>
        <v>0</v>
      </c>
      <c r="BQ72" s="24">
        <f>Z72-AV72</f>
        <v>0</v>
      </c>
      <c r="BR72" s="25">
        <f t="shared" si="89"/>
        <v>0.92382905000000004</v>
      </c>
      <c r="BS72" s="24">
        <f t="shared" si="80"/>
        <v>18476581</v>
      </c>
      <c r="BT72" s="24"/>
      <c r="BU72" s="24"/>
      <c r="BV72" s="24"/>
      <c r="BW72" s="24"/>
      <c r="BX72" s="24">
        <f>+'[10]SEPTIEMBRE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90"/>
        <v>7.617094999999996E-2</v>
      </c>
      <c r="CO72" s="24">
        <f t="shared" si="81"/>
        <v>1523419</v>
      </c>
      <c r="CP72" s="24">
        <f t="shared" si="82"/>
        <v>0</v>
      </c>
      <c r="CQ72" s="24">
        <f t="shared" si="82"/>
        <v>0</v>
      </c>
      <c r="CR72" s="24">
        <f t="shared" si="82"/>
        <v>0</v>
      </c>
      <c r="CS72" s="24">
        <f t="shared" si="82"/>
        <v>1523419</v>
      </c>
      <c r="CT72" s="24">
        <f t="shared" si="82"/>
        <v>0</v>
      </c>
      <c r="CU72" s="24">
        <f t="shared" si="82"/>
        <v>0</v>
      </c>
      <c r="CV72" s="24">
        <f t="shared" si="82"/>
        <v>0</v>
      </c>
      <c r="CW72" s="24">
        <f t="shared" si="82"/>
        <v>0</v>
      </c>
      <c r="CX72" s="24">
        <f t="shared" si="82"/>
        <v>0</v>
      </c>
      <c r="CY72" s="24">
        <f t="shared" si="84"/>
        <v>0</v>
      </c>
      <c r="CZ72" s="24">
        <f t="shared" si="84"/>
        <v>0</v>
      </c>
      <c r="DA72" s="24">
        <f t="shared" si="84"/>
        <v>0</v>
      </c>
      <c r="DB72" s="24">
        <f t="shared" si="84"/>
        <v>0</v>
      </c>
      <c r="DC72" s="24">
        <f t="shared" si="84"/>
        <v>0</v>
      </c>
      <c r="DD72" s="24">
        <f t="shared" si="84"/>
        <v>0</v>
      </c>
      <c r="DE72" s="24"/>
      <c r="DF72" s="24">
        <f t="shared" si="92"/>
        <v>0</v>
      </c>
      <c r="DG72" s="24">
        <f t="shared" si="92"/>
        <v>0</v>
      </c>
      <c r="DH72" s="24">
        <f t="shared" si="92"/>
        <v>0</v>
      </c>
      <c r="DJ72" s="194"/>
      <c r="DK72" s="194"/>
      <c r="DL72" s="198"/>
      <c r="DM72" s="199"/>
      <c r="DN72" s="200"/>
    </row>
    <row r="73" spans="1:118" ht="33" hidden="1" customHeight="1" x14ac:dyDescent="0.25">
      <c r="A73" s="236" t="s">
        <v>183</v>
      </c>
      <c r="B73" s="250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3">SUM(H73:Z73)</f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88"/>
        <v>0.93945000000000001</v>
      </c>
      <c r="AB73" s="24">
        <f t="shared" si="87"/>
        <v>9394500</v>
      </c>
      <c r="AC73" s="24"/>
      <c r="AD73" s="24"/>
      <c r="AE73" s="24"/>
      <c r="AF73" s="24"/>
      <c r="AG73" s="24">
        <f>+'[2]DICIEMBRE 2016'!$O$4551</f>
        <v>9394500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1"/>
        <v>6.0549999999999993E-2</v>
      </c>
      <c r="AX73" s="24">
        <f t="shared" si="75"/>
        <v>605500</v>
      </c>
      <c r="AY73" s="24">
        <f t="shared" si="76"/>
        <v>0</v>
      </c>
      <c r="AZ73" s="24">
        <f t="shared" si="76"/>
        <v>0</v>
      </c>
      <c r="BA73" s="24">
        <f t="shared" si="76"/>
        <v>0</v>
      </c>
      <c r="BB73" s="24">
        <f t="shared" ref="BB73:BM88" si="94">+K73-AG73</f>
        <v>605500</v>
      </c>
      <c r="BC73" s="24">
        <f t="shared" si="94"/>
        <v>0</v>
      </c>
      <c r="BD73" s="24">
        <f t="shared" si="94"/>
        <v>0</v>
      </c>
      <c r="BE73" s="24">
        <f t="shared" si="94"/>
        <v>0</v>
      </c>
      <c r="BF73" s="24">
        <f t="shared" si="94"/>
        <v>0</v>
      </c>
      <c r="BG73" s="24">
        <f t="shared" si="94"/>
        <v>0</v>
      </c>
      <c r="BH73" s="24">
        <f t="shared" si="94"/>
        <v>0</v>
      </c>
      <c r="BI73" s="24">
        <f t="shared" si="94"/>
        <v>0</v>
      </c>
      <c r="BJ73" s="24">
        <f t="shared" si="94"/>
        <v>0</v>
      </c>
      <c r="BK73" s="24">
        <f t="shared" si="94"/>
        <v>0</v>
      </c>
      <c r="BL73" s="24">
        <f t="shared" si="94"/>
        <v>0</v>
      </c>
      <c r="BM73" s="24">
        <f t="shared" si="94"/>
        <v>0</v>
      </c>
      <c r="BN73" s="24"/>
      <c r="BO73" s="24"/>
      <c r="BP73" s="24">
        <f t="shared" si="78"/>
        <v>0</v>
      </c>
      <c r="BQ73" s="24">
        <f t="shared" ref="BQ73:BQ92" si="95">+Z73-AV73</f>
        <v>0</v>
      </c>
      <c r="BR73" s="25">
        <f t="shared" si="89"/>
        <v>0.93945000000000001</v>
      </c>
      <c r="BS73" s="24">
        <f t="shared" si="80"/>
        <v>9394500</v>
      </c>
      <c r="BT73" s="24"/>
      <c r="BU73" s="24"/>
      <c r="BV73" s="24"/>
      <c r="BW73" s="24"/>
      <c r="BX73" s="24">
        <f>+'[2]DICIEMBRE 2016'!$H$4549</f>
        <v>9394500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90"/>
        <v>6.0549999999999993E-2</v>
      </c>
      <c r="CO73" s="24">
        <f t="shared" si="81"/>
        <v>605500</v>
      </c>
      <c r="CP73" s="24">
        <f t="shared" si="82"/>
        <v>0</v>
      </c>
      <c r="CQ73" s="24">
        <f t="shared" si="82"/>
        <v>0</v>
      </c>
      <c r="CR73" s="24">
        <f t="shared" si="82"/>
        <v>0</v>
      </c>
      <c r="CS73" s="24">
        <f t="shared" si="82"/>
        <v>605500</v>
      </c>
      <c r="CT73" s="24">
        <f t="shared" si="82"/>
        <v>0</v>
      </c>
      <c r="CU73" s="24">
        <f t="shared" si="82"/>
        <v>0</v>
      </c>
      <c r="CV73" s="24">
        <f t="shared" ref="CV73:CX75" si="96">+N73-CA73</f>
        <v>0</v>
      </c>
      <c r="CW73" s="24">
        <f t="shared" si="96"/>
        <v>0</v>
      </c>
      <c r="CX73" s="24">
        <f t="shared" si="96"/>
        <v>0</v>
      </c>
      <c r="CY73" s="24">
        <f t="shared" si="84"/>
        <v>0</v>
      </c>
      <c r="CZ73" s="24">
        <f t="shared" si="84"/>
        <v>0</v>
      </c>
      <c r="DA73" s="24">
        <f t="shared" si="84"/>
        <v>0</v>
      </c>
      <c r="DB73" s="24">
        <f t="shared" ref="DB73:DD84" si="97">+T73-CG73</f>
        <v>0</v>
      </c>
      <c r="DC73" s="24">
        <f t="shared" si="97"/>
        <v>0</v>
      </c>
      <c r="DD73" s="24">
        <f t="shared" si="97"/>
        <v>0</v>
      </c>
      <c r="DE73" s="24"/>
      <c r="DF73" s="24">
        <f t="shared" ref="DF73:DH84" si="98">+X73-CK73</f>
        <v>0</v>
      </c>
      <c r="DG73" s="54">
        <f t="shared" si="98"/>
        <v>0</v>
      </c>
      <c r="DH73" s="24">
        <f t="shared" si="98"/>
        <v>0</v>
      </c>
      <c r="DJ73" s="194"/>
      <c r="DK73" s="194"/>
      <c r="DL73" s="198"/>
      <c r="DM73" s="199"/>
      <c r="DN73" s="200"/>
    </row>
    <row r="74" spans="1:118" ht="35.25" hidden="1" customHeight="1" x14ac:dyDescent="0.25">
      <c r="A74" s="237"/>
      <c r="B74" s="251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3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88"/>
        <v>1</v>
      </c>
      <c r="AB74" s="24">
        <f t="shared" si="87"/>
        <v>17970750</v>
      </c>
      <c r="AC74" s="24"/>
      <c r="AD74" s="24"/>
      <c r="AE74" s="24"/>
      <c r="AF74" s="24"/>
      <c r="AG74" s="24">
        <f>+'[9]AGOSTO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1"/>
        <v>0</v>
      </c>
      <c r="AX74" s="24">
        <f t="shared" si="75"/>
        <v>0</v>
      </c>
      <c r="AY74" s="24">
        <f t="shared" si="76"/>
        <v>0</v>
      </c>
      <c r="AZ74" s="24">
        <f t="shared" si="76"/>
        <v>0</v>
      </c>
      <c r="BA74" s="24">
        <f t="shared" si="76"/>
        <v>0</v>
      </c>
      <c r="BB74" s="24">
        <f t="shared" si="94"/>
        <v>0</v>
      </c>
      <c r="BC74" s="24">
        <f t="shared" si="94"/>
        <v>0</v>
      </c>
      <c r="BD74" s="24">
        <f t="shared" si="94"/>
        <v>0</v>
      </c>
      <c r="BE74" s="24">
        <f t="shared" si="94"/>
        <v>0</v>
      </c>
      <c r="BF74" s="24">
        <f t="shared" si="94"/>
        <v>0</v>
      </c>
      <c r="BG74" s="24">
        <f t="shared" si="94"/>
        <v>0</v>
      </c>
      <c r="BH74" s="24">
        <f t="shared" si="94"/>
        <v>0</v>
      </c>
      <c r="BI74" s="24">
        <f t="shared" si="94"/>
        <v>0</v>
      </c>
      <c r="BJ74" s="24">
        <f t="shared" si="94"/>
        <v>0</v>
      </c>
      <c r="BK74" s="24">
        <f t="shared" si="94"/>
        <v>0</v>
      </c>
      <c r="BL74" s="24">
        <f t="shared" si="94"/>
        <v>0</v>
      </c>
      <c r="BM74" s="24">
        <f t="shared" si="94"/>
        <v>0</v>
      </c>
      <c r="BN74" s="24"/>
      <c r="BO74" s="24"/>
      <c r="BP74" s="24">
        <f t="shared" si="78"/>
        <v>0</v>
      </c>
      <c r="BQ74" s="24">
        <f t="shared" si="95"/>
        <v>0</v>
      </c>
      <c r="BR74" s="25">
        <f t="shared" si="89"/>
        <v>1</v>
      </c>
      <c r="BS74" s="24">
        <f t="shared" si="80"/>
        <v>17970750</v>
      </c>
      <c r="BT74" s="24"/>
      <c r="BU74" s="24"/>
      <c r="BV74" s="24"/>
      <c r="BW74" s="24"/>
      <c r="BX74" s="24">
        <f>+'[3]ENERO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90"/>
        <v>0</v>
      </c>
      <c r="CO74" s="24">
        <f t="shared" si="81"/>
        <v>0</v>
      </c>
      <c r="CP74" s="24">
        <f t="shared" si="82"/>
        <v>0</v>
      </c>
      <c r="CQ74" s="24">
        <f t="shared" si="82"/>
        <v>0</v>
      </c>
      <c r="CR74" s="24">
        <f t="shared" si="82"/>
        <v>0</v>
      </c>
      <c r="CS74" s="24">
        <f t="shared" si="82"/>
        <v>0</v>
      </c>
      <c r="CT74" s="24">
        <f t="shared" si="82"/>
        <v>0</v>
      </c>
      <c r="CU74" s="24">
        <f t="shared" si="82"/>
        <v>0</v>
      </c>
      <c r="CV74" s="24">
        <f t="shared" si="96"/>
        <v>0</v>
      </c>
      <c r="CW74" s="24">
        <f t="shared" si="96"/>
        <v>0</v>
      </c>
      <c r="CX74" s="24">
        <f t="shared" si="96"/>
        <v>0</v>
      </c>
      <c r="CY74" s="24">
        <f t="shared" si="84"/>
        <v>0</v>
      </c>
      <c r="CZ74" s="24">
        <f t="shared" si="84"/>
        <v>0</v>
      </c>
      <c r="DA74" s="24">
        <f t="shared" si="84"/>
        <v>0</v>
      </c>
      <c r="DB74" s="24">
        <f t="shared" si="97"/>
        <v>0</v>
      </c>
      <c r="DC74" s="24">
        <f t="shared" si="97"/>
        <v>0</v>
      </c>
      <c r="DD74" s="24">
        <f t="shared" si="97"/>
        <v>0</v>
      </c>
      <c r="DE74" s="24"/>
      <c r="DF74" s="24">
        <f t="shared" si="98"/>
        <v>0</v>
      </c>
      <c r="DG74" s="54">
        <f t="shared" si="98"/>
        <v>0</v>
      </c>
      <c r="DH74" s="24">
        <f t="shared" si="98"/>
        <v>0</v>
      </c>
      <c r="DJ74" s="194"/>
      <c r="DK74" s="194"/>
      <c r="DL74" s="198"/>
      <c r="DM74" s="199"/>
      <c r="DN74" s="200"/>
    </row>
    <row r="75" spans="1:118" ht="33.75" hidden="1" customHeight="1" x14ac:dyDescent="0.25">
      <c r="A75" s="237"/>
      <c r="B75" s="251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3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88"/>
        <v>1</v>
      </c>
      <c r="AB75" s="24">
        <f t="shared" si="87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+'[13]ABRIL 2016'!$G$1547</f>
        <v>1000000</v>
      </c>
      <c r="AW75" s="25">
        <f t="shared" si="91"/>
        <v>0</v>
      </c>
      <c r="AX75" s="24">
        <f t="shared" si="75"/>
        <v>0</v>
      </c>
      <c r="AY75" s="24">
        <f t="shared" si="76"/>
        <v>0</v>
      </c>
      <c r="AZ75" s="24">
        <f t="shared" si="76"/>
        <v>0</v>
      </c>
      <c r="BA75" s="24">
        <f t="shared" si="76"/>
        <v>0</v>
      </c>
      <c r="BB75" s="24">
        <f t="shared" si="94"/>
        <v>0</v>
      </c>
      <c r="BC75" s="24">
        <f t="shared" si="94"/>
        <v>0</v>
      </c>
      <c r="BD75" s="24">
        <f t="shared" si="94"/>
        <v>0</v>
      </c>
      <c r="BE75" s="24">
        <f t="shared" si="94"/>
        <v>0</v>
      </c>
      <c r="BF75" s="24">
        <f t="shared" si="94"/>
        <v>0</v>
      </c>
      <c r="BG75" s="24">
        <f t="shared" si="94"/>
        <v>0</v>
      </c>
      <c r="BH75" s="24">
        <f t="shared" si="94"/>
        <v>0</v>
      </c>
      <c r="BI75" s="24">
        <f t="shared" si="94"/>
        <v>0</v>
      </c>
      <c r="BJ75" s="24">
        <f t="shared" si="94"/>
        <v>0</v>
      </c>
      <c r="BK75" s="24">
        <f t="shared" si="94"/>
        <v>0</v>
      </c>
      <c r="BL75" s="24">
        <f t="shared" si="94"/>
        <v>0</v>
      </c>
      <c r="BM75" s="24">
        <f t="shared" si="94"/>
        <v>0</v>
      </c>
      <c r="BN75" s="24"/>
      <c r="BO75" s="24"/>
      <c r="BP75" s="24">
        <f t="shared" si="78"/>
        <v>0</v>
      </c>
      <c r="BQ75" s="24">
        <f t="shared" si="95"/>
        <v>0</v>
      </c>
      <c r="BR75" s="25">
        <f t="shared" si="89"/>
        <v>1</v>
      </c>
      <c r="BS75" s="24">
        <f t="shared" si="80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+'[13]ABRIL 2016'!$H$1547</f>
        <v>1000000</v>
      </c>
      <c r="CN75" s="25">
        <f t="shared" si="90"/>
        <v>0</v>
      </c>
      <c r="CO75" s="24">
        <f t="shared" si="81"/>
        <v>0</v>
      </c>
      <c r="CP75" s="24">
        <f t="shared" si="82"/>
        <v>0</v>
      </c>
      <c r="CQ75" s="24">
        <f t="shared" si="82"/>
        <v>0</v>
      </c>
      <c r="CR75" s="24">
        <f t="shared" si="82"/>
        <v>0</v>
      </c>
      <c r="CS75" s="24">
        <f t="shared" si="82"/>
        <v>0</v>
      </c>
      <c r="CT75" s="24">
        <f t="shared" si="82"/>
        <v>0</v>
      </c>
      <c r="CU75" s="24">
        <f t="shared" si="82"/>
        <v>0</v>
      </c>
      <c r="CV75" s="24">
        <f t="shared" si="96"/>
        <v>0</v>
      </c>
      <c r="CW75" s="24">
        <f t="shared" si="96"/>
        <v>0</v>
      </c>
      <c r="CX75" s="24">
        <f t="shared" si="96"/>
        <v>0</v>
      </c>
      <c r="CY75" s="24">
        <f t="shared" si="84"/>
        <v>0</v>
      </c>
      <c r="CZ75" s="24">
        <f t="shared" si="84"/>
        <v>0</v>
      </c>
      <c r="DA75" s="24">
        <f t="shared" si="84"/>
        <v>0</v>
      </c>
      <c r="DB75" s="24">
        <f t="shared" si="97"/>
        <v>0</v>
      </c>
      <c r="DC75" s="24">
        <f t="shared" si="97"/>
        <v>0</v>
      </c>
      <c r="DD75" s="24">
        <f t="shared" si="97"/>
        <v>0</v>
      </c>
      <c r="DE75" s="24"/>
      <c r="DF75" s="24">
        <f t="shared" si="98"/>
        <v>0</v>
      </c>
      <c r="DG75" s="54">
        <f t="shared" si="98"/>
        <v>0</v>
      </c>
      <c r="DH75" s="24">
        <f t="shared" si="98"/>
        <v>0</v>
      </c>
      <c r="DJ75" s="194"/>
      <c r="DK75" s="194"/>
      <c r="DL75" s="198"/>
      <c r="DM75" s="199"/>
      <c r="DN75" s="200"/>
    </row>
    <row r="76" spans="1:118" ht="33" hidden="1" customHeight="1" x14ac:dyDescent="0.25">
      <c r="A76" s="237"/>
      <c r="B76" s="251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3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88"/>
        <v>#DIV/0!</v>
      </c>
      <c r="AB76" s="24">
        <f t="shared" si="87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1"/>
        <v>#DIV/0!</v>
      </c>
      <c r="AX76" s="24">
        <f t="shared" si="75"/>
        <v>0</v>
      </c>
      <c r="AY76" s="24">
        <f t="shared" si="76"/>
        <v>0</v>
      </c>
      <c r="AZ76" s="24">
        <f t="shared" si="76"/>
        <v>0</v>
      </c>
      <c r="BA76" s="24">
        <f t="shared" si="76"/>
        <v>0</v>
      </c>
      <c r="BB76" s="24">
        <f t="shared" si="94"/>
        <v>0</v>
      </c>
      <c r="BC76" s="24"/>
      <c r="BD76" s="24"/>
      <c r="BE76" s="24"/>
      <c r="BF76" s="24"/>
      <c r="BG76" s="24"/>
      <c r="BH76" s="24">
        <f t="shared" si="94"/>
        <v>0</v>
      </c>
      <c r="BI76" s="24">
        <f t="shared" si="94"/>
        <v>0</v>
      </c>
      <c r="BJ76" s="24">
        <f t="shared" si="94"/>
        <v>0</v>
      </c>
      <c r="BK76" s="24"/>
      <c r="BL76" s="24">
        <f t="shared" si="94"/>
        <v>0</v>
      </c>
      <c r="BM76" s="24">
        <f t="shared" si="94"/>
        <v>0</v>
      </c>
      <c r="BN76" s="24"/>
      <c r="BO76" s="24"/>
      <c r="BP76" s="24">
        <f t="shared" si="78"/>
        <v>0</v>
      </c>
      <c r="BQ76" s="24">
        <f t="shared" si="95"/>
        <v>0</v>
      </c>
      <c r="BR76" s="25" t="e">
        <f t="shared" si="89"/>
        <v>#DIV/0!</v>
      </c>
      <c r="BS76" s="24">
        <f t="shared" si="80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90"/>
        <v>#DIV/0!</v>
      </c>
      <c r="CO76" s="24">
        <f t="shared" si="81"/>
        <v>0</v>
      </c>
      <c r="CP76" s="24">
        <f t="shared" si="82"/>
        <v>0</v>
      </c>
      <c r="CQ76" s="24">
        <f t="shared" si="82"/>
        <v>0</v>
      </c>
      <c r="CR76" s="24">
        <f t="shared" si="82"/>
        <v>0</v>
      </c>
      <c r="CS76" s="24">
        <f t="shared" si="82"/>
        <v>0</v>
      </c>
      <c r="CT76" s="24"/>
      <c r="CU76" s="24"/>
      <c r="CV76" s="24"/>
      <c r="CW76" s="24"/>
      <c r="CX76" s="24"/>
      <c r="CY76" s="24">
        <f t="shared" si="84"/>
        <v>0</v>
      </c>
      <c r="CZ76" s="24">
        <f t="shared" si="84"/>
        <v>0</v>
      </c>
      <c r="DA76" s="24">
        <f t="shared" si="84"/>
        <v>0</v>
      </c>
      <c r="DB76" s="24">
        <f t="shared" si="97"/>
        <v>0</v>
      </c>
      <c r="DC76" s="24">
        <f t="shared" si="97"/>
        <v>0</v>
      </c>
      <c r="DD76" s="24">
        <f t="shared" si="97"/>
        <v>0</v>
      </c>
      <c r="DE76" s="24"/>
      <c r="DF76" s="24"/>
      <c r="DG76" s="54"/>
      <c r="DH76" s="24">
        <f t="shared" si="98"/>
        <v>0</v>
      </c>
      <c r="DJ76" s="194"/>
      <c r="DK76" s="194"/>
      <c r="DL76" s="198"/>
      <c r="DM76" s="199"/>
      <c r="DN76" s="200"/>
    </row>
    <row r="77" spans="1:118" ht="30" hidden="1" x14ac:dyDescent="0.25">
      <c r="A77" s="237"/>
      <c r="B77" s="251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3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88"/>
        <v>#DIV/0!</v>
      </c>
      <c r="AB77" s="24">
        <f t="shared" si="87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1"/>
        <v>#DIV/0!</v>
      </c>
      <c r="AX77" s="24">
        <f t="shared" si="75"/>
        <v>0</v>
      </c>
      <c r="AY77" s="24">
        <f t="shared" si="76"/>
        <v>0</v>
      </c>
      <c r="AZ77" s="24">
        <f t="shared" si="76"/>
        <v>0</v>
      </c>
      <c r="BA77" s="24">
        <f t="shared" si="76"/>
        <v>0</v>
      </c>
      <c r="BB77" s="24">
        <f t="shared" si="94"/>
        <v>0</v>
      </c>
      <c r="BC77" s="24"/>
      <c r="BD77" s="24"/>
      <c r="BE77" s="24"/>
      <c r="BF77" s="24"/>
      <c r="BG77" s="24"/>
      <c r="BH77" s="24">
        <f t="shared" si="94"/>
        <v>0</v>
      </c>
      <c r="BI77" s="24">
        <f t="shared" si="94"/>
        <v>0</v>
      </c>
      <c r="BJ77" s="24">
        <f t="shared" si="94"/>
        <v>0</v>
      </c>
      <c r="BK77" s="24"/>
      <c r="BL77" s="24">
        <f t="shared" si="94"/>
        <v>0</v>
      </c>
      <c r="BM77" s="24">
        <f t="shared" si="94"/>
        <v>0</v>
      </c>
      <c r="BN77" s="24"/>
      <c r="BO77" s="24"/>
      <c r="BP77" s="24">
        <f t="shared" si="78"/>
        <v>0</v>
      </c>
      <c r="BQ77" s="24">
        <f t="shared" si="95"/>
        <v>0</v>
      </c>
      <c r="BR77" s="25" t="e">
        <f t="shared" si="89"/>
        <v>#DIV/0!</v>
      </c>
      <c r="BS77" s="24">
        <f t="shared" si="80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90"/>
        <v>#DIV/0!</v>
      </c>
      <c r="CO77" s="24">
        <f t="shared" si="81"/>
        <v>0</v>
      </c>
      <c r="CP77" s="24">
        <f t="shared" ref="CP77:CU92" si="99">H77-BU77</f>
        <v>0</v>
      </c>
      <c r="CQ77" s="24">
        <f t="shared" si="99"/>
        <v>0</v>
      </c>
      <c r="CR77" s="24">
        <f t="shared" si="99"/>
        <v>0</v>
      </c>
      <c r="CS77" s="24">
        <f t="shared" si="99"/>
        <v>0</v>
      </c>
      <c r="CT77" s="24"/>
      <c r="CU77" s="24"/>
      <c r="CV77" s="24"/>
      <c r="CW77" s="24"/>
      <c r="CX77" s="24"/>
      <c r="CY77" s="24">
        <f t="shared" si="84"/>
        <v>0</v>
      </c>
      <c r="CZ77" s="24">
        <f t="shared" si="84"/>
        <v>0</v>
      </c>
      <c r="DA77" s="24">
        <f t="shared" si="84"/>
        <v>0</v>
      </c>
      <c r="DB77" s="24">
        <f t="shared" si="97"/>
        <v>0</v>
      </c>
      <c r="DC77" s="24">
        <f t="shared" si="97"/>
        <v>0</v>
      </c>
      <c r="DD77" s="24">
        <f t="shared" si="97"/>
        <v>0</v>
      </c>
      <c r="DE77" s="24"/>
      <c r="DF77" s="24"/>
      <c r="DG77" s="54"/>
      <c r="DH77" s="24">
        <f t="shared" si="98"/>
        <v>0</v>
      </c>
      <c r="DJ77" s="194"/>
      <c r="DK77" s="194"/>
      <c r="DL77" s="198"/>
      <c r="DM77" s="199"/>
      <c r="DN77" s="200"/>
    </row>
    <row r="78" spans="1:118" ht="21" hidden="1" customHeight="1" x14ac:dyDescent="0.25">
      <c r="A78" s="237"/>
      <c r="B78" s="251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3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88"/>
        <v>0.99725575071450379</v>
      </c>
      <c r="AB78" s="24">
        <f t="shared" si="87"/>
        <v>26955075</v>
      </c>
      <c r="AC78" s="24"/>
      <c r="AD78" s="24"/>
      <c r="AE78" s="24"/>
      <c r="AF78" s="24"/>
      <c r="AG78" s="24">
        <f>+'[10]SEPTIEMBRE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1"/>
        <v>2.7442492854962142E-3</v>
      </c>
      <c r="AX78" s="24">
        <f t="shared" si="75"/>
        <v>74175</v>
      </c>
      <c r="AY78" s="24">
        <f t="shared" si="76"/>
        <v>0</v>
      </c>
      <c r="AZ78" s="24">
        <f t="shared" si="76"/>
        <v>0</v>
      </c>
      <c r="BA78" s="24">
        <f t="shared" si="76"/>
        <v>0</v>
      </c>
      <c r="BB78" s="24">
        <f t="shared" si="94"/>
        <v>74175</v>
      </c>
      <c r="BC78" s="24"/>
      <c r="BD78" s="24"/>
      <c r="BE78" s="24"/>
      <c r="BF78" s="24"/>
      <c r="BG78" s="24"/>
      <c r="BH78" s="24">
        <f t="shared" si="94"/>
        <v>0</v>
      </c>
      <c r="BI78" s="24">
        <f t="shared" si="94"/>
        <v>0</v>
      </c>
      <c r="BJ78" s="24">
        <f t="shared" si="94"/>
        <v>0</v>
      </c>
      <c r="BK78" s="24">
        <f t="shared" si="94"/>
        <v>0</v>
      </c>
      <c r="BL78" s="24">
        <f t="shared" si="94"/>
        <v>0</v>
      </c>
      <c r="BM78" s="24">
        <f t="shared" si="94"/>
        <v>0</v>
      </c>
      <c r="BN78" s="24"/>
      <c r="BO78" s="24"/>
      <c r="BP78" s="24">
        <f t="shared" si="78"/>
        <v>0</v>
      </c>
      <c r="BQ78" s="24">
        <f t="shared" si="95"/>
        <v>0</v>
      </c>
      <c r="BR78" s="25">
        <f t="shared" si="89"/>
        <v>0.99725575071450379</v>
      </c>
      <c r="BS78" s="24">
        <f t="shared" si="80"/>
        <v>26955075</v>
      </c>
      <c r="BT78" s="24"/>
      <c r="BU78" s="24"/>
      <c r="BV78" s="24"/>
      <c r="BW78" s="24"/>
      <c r="BX78" s="24">
        <f>+'[10]SEPTIEMBRE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90"/>
        <v>2.7442492854962142E-3</v>
      </c>
      <c r="CO78" s="24">
        <f t="shared" si="81"/>
        <v>74175</v>
      </c>
      <c r="CP78" s="24">
        <f t="shared" si="99"/>
        <v>0</v>
      </c>
      <c r="CQ78" s="24">
        <f t="shared" si="99"/>
        <v>0</v>
      </c>
      <c r="CR78" s="24">
        <f t="shared" si="99"/>
        <v>0</v>
      </c>
      <c r="CS78" s="24">
        <f t="shared" si="99"/>
        <v>74175</v>
      </c>
      <c r="CT78" s="24"/>
      <c r="CU78" s="24"/>
      <c r="CV78" s="24"/>
      <c r="CW78" s="24"/>
      <c r="CX78" s="24"/>
      <c r="CY78" s="24">
        <f t="shared" si="84"/>
        <v>0</v>
      </c>
      <c r="CZ78" s="24">
        <f t="shared" si="84"/>
        <v>0</v>
      </c>
      <c r="DA78" s="24">
        <f t="shared" si="84"/>
        <v>0</v>
      </c>
      <c r="DB78" s="24">
        <f t="shared" si="97"/>
        <v>0</v>
      </c>
      <c r="DC78" s="24">
        <f t="shared" si="97"/>
        <v>0</v>
      </c>
      <c r="DD78" s="24">
        <f t="shared" si="97"/>
        <v>0</v>
      </c>
      <c r="DE78" s="24"/>
      <c r="DF78" s="24"/>
      <c r="DG78" s="54"/>
      <c r="DH78" s="24">
        <f t="shared" si="98"/>
        <v>0</v>
      </c>
      <c r="DJ78" s="194"/>
      <c r="DK78" s="194"/>
      <c r="DL78" s="198"/>
      <c r="DM78" s="199"/>
      <c r="DN78" s="200"/>
    </row>
    <row r="79" spans="1:118" ht="30" hidden="1" x14ac:dyDescent="0.25">
      <c r="A79" s="237"/>
      <c r="B79" s="252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3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88"/>
        <v>0.81124759999999996</v>
      </c>
      <c r="AB79" s="24">
        <f t="shared" si="87"/>
        <v>4056238</v>
      </c>
      <c r="AC79" s="24"/>
      <c r="AD79" s="24"/>
      <c r="AE79" s="24"/>
      <c r="AF79" s="24"/>
      <c r="AG79" s="24">
        <f>+'[5]NOVIEMBRE 2016'!$G$4356</f>
        <v>4056238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1"/>
        <v>0.18875240000000004</v>
      </c>
      <c r="AX79" s="24">
        <f t="shared" si="75"/>
        <v>943762</v>
      </c>
      <c r="AY79" s="24">
        <f t="shared" si="76"/>
        <v>0</v>
      </c>
      <c r="AZ79" s="24">
        <f t="shared" si="76"/>
        <v>0</v>
      </c>
      <c r="BA79" s="24">
        <f t="shared" si="76"/>
        <v>0</v>
      </c>
      <c r="BB79" s="24">
        <f t="shared" si="94"/>
        <v>943762</v>
      </c>
      <c r="BC79" s="24"/>
      <c r="BD79" s="24"/>
      <c r="BE79" s="24"/>
      <c r="BF79" s="24"/>
      <c r="BG79" s="24"/>
      <c r="BH79" s="24">
        <f t="shared" si="94"/>
        <v>0</v>
      </c>
      <c r="BI79" s="24">
        <f t="shared" si="94"/>
        <v>0</v>
      </c>
      <c r="BJ79" s="24">
        <f t="shared" si="94"/>
        <v>0</v>
      </c>
      <c r="BK79" s="24">
        <f t="shared" si="94"/>
        <v>0</v>
      </c>
      <c r="BL79" s="24">
        <f t="shared" si="94"/>
        <v>0</v>
      </c>
      <c r="BM79" s="24">
        <f t="shared" si="94"/>
        <v>0</v>
      </c>
      <c r="BN79" s="24"/>
      <c r="BO79" s="24"/>
      <c r="BP79" s="24">
        <f t="shared" si="78"/>
        <v>0</v>
      </c>
      <c r="BQ79" s="24">
        <f t="shared" si="95"/>
        <v>0</v>
      </c>
      <c r="BR79" s="25">
        <f t="shared" si="89"/>
        <v>0.81124759999999996</v>
      </c>
      <c r="BS79" s="24">
        <f t="shared" si="80"/>
        <v>4056238</v>
      </c>
      <c r="BT79" s="24"/>
      <c r="BU79" s="24"/>
      <c r="BV79" s="24"/>
      <c r="BW79" s="24"/>
      <c r="BX79" s="24">
        <f>+'[5]NOVIEMBRE 2016'!$H$4356</f>
        <v>4056238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90"/>
        <v>0.18875240000000004</v>
      </c>
      <c r="CO79" s="24">
        <f t="shared" si="81"/>
        <v>943762</v>
      </c>
      <c r="CP79" s="24">
        <f t="shared" si="99"/>
        <v>0</v>
      </c>
      <c r="CQ79" s="24">
        <f t="shared" si="99"/>
        <v>0</v>
      </c>
      <c r="CR79" s="24">
        <f t="shared" si="99"/>
        <v>0</v>
      </c>
      <c r="CS79" s="24">
        <f t="shared" si="99"/>
        <v>943762</v>
      </c>
      <c r="CT79" s="24"/>
      <c r="CU79" s="24"/>
      <c r="CV79" s="24"/>
      <c r="CW79" s="24"/>
      <c r="CX79" s="24"/>
      <c r="CY79" s="24">
        <f t="shared" si="84"/>
        <v>0</v>
      </c>
      <c r="CZ79" s="24">
        <f t="shared" si="84"/>
        <v>0</v>
      </c>
      <c r="DA79" s="24">
        <f t="shared" si="84"/>
        <v>0</v>
      </c>
      <c r="DB79" s="24">
        <f t="shared" si="97"/>
        <v>0</v>
      </c>
      <c r="DC79" s="24">
        <f t="shared" si="97"/>
        <v>0</v>
      </c>
      <c r="DD79" s="24">
        <f t="shared" si="97"/>
        <v>0</v>
      </c>
      <c r="DE79" s="24"/>
      <c r="DF79" s="24"/>
      <c r="DG79" s="54"/>
      <c r="DH79" s="24">
        <f t="shared" si="98"/>
        <v>0</v>
      </c>
      <c r="DJ79" s="194"/>
      <c r="DK79" s="194"/>
      <c r="DL79" s="198"/>
      <c r="DM79" s="199"/>
      <c r="DN79" s="200"/>
    </row>
    <row r="80" spans="1:118" ht="34.5" hidden="1" customHeight="1" x14ac:dyDescent="0.25">
      <c r="A80" s="237"/>
      <c r="B80" s="239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3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88"/>
        <v>1</v>
      </c>
      <c r="AB80" s="24">
        <f t="shared" si="87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1"/>
        <v>0</v>
      </c>
      <c r="AX80" s="24">
        <f t="shared" si="75"/>
        <v>0</v>
      </c>
      <c r="AY80" s="24">
        <f t="shared" si="76"/>
        <v>0</v>
      </c>
      <c r="AZ80" s="24">
        <f t="shared" si="76"/>
        <v>0</v>
      </c>
      <c r="BA80" s="24">
        <f t="shared" si="76"/>
        <v>0</v>
      </c>
      <c r="BB80" s="24">
        <f t="shared" si="94"/>
        <v>0</v>
      </c>
      <c r="BC80" s="24">
        <f t="shared" si="94"/>
        <v>0</v>
      </c>
      <c r="BD80" s="24">
        <f t="shared" si="94"/>
        <v>0</v>
      </c>
      <c r="BE80" s="24">
        <f t="shared" si="94"/>
        <v>0</v>
      </c>
      <c r="BF80" s="24">
        <f t="shared" si="94"/>
        <v>0</v>
      </c>
      <c r="BG80" s="24">
        <f t="shared" si="94"/>
        <v>0</v>
      </c>
      <c r="BH80" s="24">
        <f t="shared" si="94"/>
        <v>0</v>
      </c>
      <c r="BI80" s="24">
        <f t="shared" si="94"/>
        <v>0</v>
      </c>
      <c r="BJ80" s="24">
        <f t="shared" si="94"/>
        <v>0</v>
      </c>
      <c r="BK80" s="24">
        <f t="shared" si="94"/>
        <v>0</v>
      </c>
      <c r="BL80" s="24">
        <f t="shared" si="94"/>
        <v>0</v>
      </c>
      <c r="BM80" s="24">
        <f t="shared" si="94"/>
        <v>0</v>
      </c>
      <c r="BN80" s="24"/>
      <c r="BO80" s="24"/>
      <c r="BP80" s="24">
        <f t="shared" si="78"/>
        <v>0</v>
      </c>
      <c r="BQ80" s="24">
        <f t="shared" si="95"/>
        <v>0</v>
      </c>
      <c r="BR80" s="25">
        <f t="shared" si="89"/>
        <v>1</v>
      </c>
      <c r="BS80" s="24">
        <f t="shared" si="80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90"/>
        <v>0</v>
      </c>
      <c r="CO80" s="24">
        <f t="shared" si="81"/>
        <v>0</v>
      </c>
      <c r="CP80" s="24">
        <f t="shared" si="99"/>
        <v>0</v>
      </c>
      <c r="CQ80" s="24">
        <f t="shared" si="99"/>
        <v>0</v>
      </c>
      <c r="CR80" s="24">
        <f t="shared" si="99"/>
        <v>0</v>
      </c>
      <c r="CS80" s="24">
        <f t="shared" si="99"/>
        <v>0</v>
      </c>
      <c r="CT80" s="24">
        <f t="shared" si="99"/>
        <v>0</v>
      </c>
      <c r="CU80" s="24">
        <f t="shared" si="99"/>
        <v>0</v>
      </c>
      <c r="CV80" s="24">
        <f t="shared" ref="CV80:CX84" si="100">+N80-CA80</f>
        <v>0</v>
      </c>
      <c r="CW80" s="24">
        <f t="shared" si="100"/>
        <v>0</v>
      </c>
      <c r="CX80" s="24">
        <f t="shared" si="100"/>
        <v>0</v>
      </c>
      <c r="CY80" s="24">
        <f t="shared" si="84"/>
        <v>0</v>
      </c>
      <c r="CZ80" s="24">
        <f t="shared" si="84"/>
        <v>0</v>
      </c>
      <c r="DA80" s="24">
        <f t="shared" si="84"/>
        <v>0</v>
      </c>
      <c r="DB80" s="24">
        <f t="shared" si="97"/>
        <v>0</v>
      </c>
      <c r="DC80" s="24">
        <f t="shared" si="97"/>
        <v>0</v>
      </c>
      <c r="DD80" s="24">
        <f t="shared" si="97"/>
        <v>0</v>
      </c>
      <c r="DE80" s="24"/>
      <c r="DF80" s="24">
        <f t="shared" ref="DF80:DG84" si="101">+X80-CK80</f>
        <v>0</v>
      </c>
      <c r="DG80" s="54">
        <f t="shared" si="101"/>
        <v>0</v>
      </c>
      <c r="DH80" s="24">
        <f t="shared" si="98"/>
        <v>0</v>
      </c>
      <c r="DJ80" s="194"/>
      <c r="DK80" s="194"/>
      <c r="DL80" s="198"/>
      <c r="DM80" s="199"/>
      <c r="DN80" s="200"/>
    </row>
    <row r="81" spans="1:118" ht="30.75" hidden="1" customHeight="1" x14ac:dyDescent="0.25">
      <c r="A81" s="237"/>
      <c r="B81" s="241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88"/>
        <v>1</v>
      </c>
      <c r="AB81" s="24">
        <f t="shared" si="87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1"/>
        <v>0</v>
      </c>
      <c r="AX81" s="24">
        <f t="shared" si="75"/>
        <v>0</v>
      </c>
      <c r="AY81" s="24">
        <f t="shared" si="76"/>
        <v>0</v>
      </c>
      <c r="AZ81" s="24">
        <f t="shared" si="76"/>
        <v>0</v>
      </c>
      <c r="BA81" s="24">
        <f t="shared" si="76"/>
        <v>0</v>
      </c>
      <c r="BB81" s="24">
        <f t="shared" si="94"/>
        <v>0</v>
      </c>
      <c r="BC81" s="24">
        <f t="shared" si="94"/>
        <v>0</v>
      </c>
      <c r="BD81" s="24">
        <f t="shared" si="94"/>
        <v>0</v>
      </c>
      <c r="BE81" s="24">
        <f t="shared" si="94"/>
        <v>0</v>
      </c>
      <c r="BF81" s="24">
        <f t="shared" si="94"/>
        <v>0</v>
      </c>
      <c r="BG81" s="24">
        <f t="shared" si="94"/>
        <v>0</v>
      </c>
      <c r="BH81" s="24">
        <f t="shared" si="94"/>
        <v>0</v>
      </c>
      <c r="BI81" s="24">
        <f t="shared" si="94"/>
        <v>0</v>
      </c>
      <c r="BJ81" s="24">
        <f t="shared" si="94"/>
        <v>0</v>
      </c>
      <c r="BK81" s="24">
        <f t="shared" si="94"/>
        <v>0</v>
      </c>
      <c r="BL81" s="24">
        <f t="shared" si="94"/>
        <v>0</v>
      </c>
      <c r="BM81" s="24">
        <f t="shared" si="94"/>
        <v>0</v>
      </c>
      <c r="BN81" s="24"/>
      <c r="BO81" s="24"/>
      <c r="BP81" s="24">
        <f t="shared" si="78"/>
        <v>0</v>
      </c>
      <c r="BQ81" s="24">
        <f t="shared" si="95"/>
        <v>0</v>
      </c>
      <c r="BR81" s="25">
        <f t="shared" si="89"/>
        <v>1</v>
      </c>
      <c r="BS81" s="24">
        <f t="shared" si="80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90"/>
        <v>0</v>
      </c>
      <c r="CO81" s="24">
        <f t="shared" si="81"/>
        <v>0</v>
      </c>
      <c r="CP81" s="24">
        <f t="shared" si="99"/>
        <v>0</v>
      </c>
      <c r="CQ81" s="24">
        <f t="shared" si="99"/>
        <v>0</v>
      </c>
      <c r="CR81" s="24">
        <f t="shared" si="99"/>
        <v>0</v>
      </c>
      <c r="CS81" s="24">
        <f t="shared" si="99"/>
        <v>0</v>
      </c>
      <c r="CT81" s="24">
        <f t="shared" si="99"/>
        <v>0</v>
      </c>
      <c r="CU81" s="24">
        <f t="shared" si="99"/>
        <v>0</v>
      </c>
      <c r="CV81" s="24">
        <f t="shared" si="100"/>
        <v>0</v>
      </c>
      <c r="CW81" s="24">
        <f t="shared" si="100"/>
        <v>0</v>
      </c>
      <c r="CX81" s="24">
        <f t="shared" si="100"/>
        <v>0</v>
      </c>
      <c r="CY81" s="24">
        <f t="shared" si="84"/>
        <v>0</v>
      </c>
      <c r="CZ81" s="24">
        <f t="shared" si="84"/>
        <v>0</v>
      </c>
      <c r="DA81" s="24">
        <f t="shared" si="84"/>
        <v>0</v>
      </c>
      <c r="DB81" s="24">
        <f t="shared" si="97"/>
        <v>0</v>
      </c>
      <c r="DC81" s="24">
        <f t="shared" si="97"/>
        <v>0</v>
      </c>
      <c r="DD81" s="24">
        <f t="shared" si="97"/>
        <v>0</v>
      </c>
      <c r="DE81" s="24"/>
      <c r="DF81" s="24">
        <f t="shared" si="101"/>
        <v>0</v>
      </c>
      <c r="DG81" s="54">
        <f t="shared" si="101"/>
        <v>0</v>
      </c>
      <c r="DH81" s="24">
        <f t="shared" si="98"/>
        <v>0</v>
      </c>
      <c r="DJ81" s="194"/>
      <c r="DK81" s="194"/>
      <c r="DL81" s="198"/>
      <c r="DM81" s="199"/>
      <c r="DN81" s="200"/>
    </row>
    <row r="82" spans="1:118" ht="49.5" hidden="1" customHeight="1" x14ac:dyDescent="0.25">
      <c r="A82" s="237"/>
      <c r="B82" s="239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93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88"/>
        <v>0.97333333333333338</v>
      </c>
      <c r="AB82" s="24">
        <f t="shared" si="87"/>
        <v>14600000</v>
      </c>
      <c r="AC82" s="24"/>
      <c r="AD82" s="24"/>
      <c r="AE82" s="24"/>
      <c r="AF82" s="24"/>
      <c r="AG82" s="24">
        <f>+'[3]ENERO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+'[9]AGOSTO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1"/>
        <v>2.6666666666666616E-2</v>
      </c>
      <c r="AX82" s="24">
        <f t="shared" si="75"/>
        <v>400000</v>
      </c>
      <c r="AY82" s="24">
        <f t="shared" si="76"/>
        <v>0</v>
      </c>
      <c r="AZ82" s="24">
        <f t="shared" si="76"/>
        <v>0</v>
      </c>
      <c r="BA82" s="24">
        <f t="shared" si="76"/>
        <v>0</v>
      </c>
      <c r="BB82" s="24">
        <f t="shared" si="94"/>
        <v>0</v>
      </c>
      <c r="BC82" s="24">
        <f t="shared" si="94"/>
        <v>0</v>
      </c>
      <c r="BD82" s="24">
        <f t="shared" si="94"/>
        <v>0</v>
      </c>
      <c r="BE82" s="24">
        <f t="shared" si="94"/>
        <v>0</v>
      </c>
      <c r="BF82" s="24">
        <f t="shared" si="94"/>
        <v>0</v>
      </c>
      <c r="BG82" s="24">
        <f t="shared" si="94"/>
        <v>0</v>
      </c>
      <c r="BH82" s="24">
        <f t="shared" si="94"/>
        <v>0</v>
      </c>
      <c r="BI82" s="24">
        <f t="shared" si="94"/>
        <v>0</v>
      </c>
      <c r="BJ82" s="24">
        <f t="shared" si="94"/>
        <v>400000</v>
      </c>
      <c r="BK82" s="24">
        <f t="shared" si="94"/>
        <v>0</v>
      </c>
      <c r="BL82" s="24">
        <f t="shared" si="94"/>
        <v>0</v>
      </c>
      <c r="BM82" s="24">
        <f t="shared" si="94"/>
        <v>0</v>
      </c>
      <c r="BN82" s="24"/>
      <c r="BO82" s="24"/>
      <c r="BP82" s="24">
        <f t="shared" si="78"/>
        <v>0</v>
      </c>
      <c r="BQ82" s="24">
        <f t="shared" si="95"/>
        <v>0</v>
      </c>
      <c r="BR82" s="25">
        <f t="shared" si="89"/>
        <v>0.97333333333333338</v>
      </c>
      <c r="BS82" s="24">
        <f t="shared" si="80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+'[9]AGOSTO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90"/>
        <v>2.6666666666666616E-2</v>
      </c>
      <c r="CO82" s="24">
        <f t="shared" si="81"/>
        <v>400000</v>
      </c>
      <c r="CP82" s="24">
        <f t="shared" si="99"/>
        <v>0</v>
      </c>
      <c r="CQ82" s="24">
        <f t="shared" si="99"/>
        <v>0</v>
      </c>
      <c r="CR82" s="24">
        <f t="shared" si="99"/>
        <v>0</v>
      </c>
      <c r="CS82" s="24">
        <f t="shared" si="99"/>
        <v>0</v>
      </c>
      <c r="CT82" s="24">
        <f t="shared" si="99"/>
        <v>0</v>
      </c>
      <c r="CU82" s="24">
        <f t="shared" si="99"/>
        <v>0</v>
      </c>
      <c r="CV82" s="24">
        <f t="shared" si="100"/>
        <v>0</v>
      </c>
      <c r="CW82" s="24">
        <f t="shared" si="100"/>
        <v>0</v>
      </c>
      <c r="CX82" s="24">
        <f t="shared" si="100"/>
        <v>0</v>
      </c>
      <c r="CY82" s="24">
        <f t="shared" si="84"/>
        <v>0</v>
      </c>
      <c r="CZ82" s="24">
        <f t="shared" si="84"/>
        <v>0</v>
      </c>
      <c r="DA82" s="24">
        <f t="shared" si="84"/>
        <v>400000</v>
      </c>
      <c r="DB82" s="24">
        <f t="shared" si="97"/>
        <v>0</v>
      </c>
      <c r="DC82" s="24">
        <f t="shared" si="97"/>
        <v>0</v>
      </c>
      <c r="DD82" s="24">
        <f t="shared" si="97"/>
        <v>0</v>
      </c>
      <c r="DE82" s="24"/>
      <c r="DF82" s="24">
        <f t="shared" si="101"/>
        <v>0</v>
      </c>
      <c r="DG82" s="54">
        <f t="shared" si="101"/>
        <v>0</v>
      </c>
      <c r="DH82" s="24">
        <f t="shared" si="98"/>
        <v>0</v>
      </c>
      <c r="DJ82" s="194"/>
      <c r="DK82" s="194"/>
      <c r="DL82" s="198"/>
      <c r="DM82" s="199"/>
      <c r="DN82" s="200"/>
    </row>
    <row r="83" spans="1:118" ht="30" hidden="1" x14ac:dyDescent="0.25">
      <c r="A83" s="237"/>
      <c r="B83" s="240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93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88"/>
        <v>0.63860614999999998</v>
      </c>
      <c r="AB83" s="24">
        <f t="shared" si="87"/>
        <v>12772123</v>
      </c>
      <c r="AC83" s="24"/>
      <c r="AD83" s="24"/>
      <c r="AE83" s="24"/>
      <c r="AF83" s="24"/>
      <c r="AG83" s="24">
        <f>+'[4]DICIEMBRE 2016'!$O$4634</f>
        <v>9762123</v>
      </c>
      <c r="AH83" s="24"/>
      <c r="AI83" s="24"/>
      <c r="AJ83" s="24"/>
      <c r="AK83" s="24"/>
      <c r="AL83" s="24"/>
      <c r="AM83" s="24"/>
      <c r="AN83" s="24"/>
      <c r="AO83" s="24">
        <f>+'[5]NOVIEMBRE 2016'!$W$4398</f>
        <v>3010000</v>
      </c>
      <c r="AP83" s="24"/>
      <c r="AQ83" s="24"/>
      <c r="AR83" s="24"/>
      <c r="AS83" s="24"/>
      <c r="AT83" s="24"/>
      <c r="AU83" s="24"/>
      <c r="AV83" s="24"/>
      <c r="AW83" s="25">
        <f t="shared" si="91"/>
        <v>0.36139385000000002</v>
      </c>
      <c r="AX83" s="24">
        <f t="shared" si="75"/>
        <v>7227877</v>
      </c>
      <c r="AY83" s="24">
        <f t="shared" si="76"/>
        <v>0</v>
      </c>
      <c r="AZ83" s="24">
        <f t="shared" si="76"/>
        <v>0</v>
      </c>
      <c r="BA83" s="24">
        <f t="shared" si="76"/>
        <v>0</v>
      </c>
      <c r="BB83" s="24">
        <f t="shared" si="94"/>
        <v>237877</v>
      </c>
      <c r="BC83" s="24">
        <f t="shared" si="94"/>
        <v>0</v>
      </c>
      <c r="BD83" s="24">
        <f t="shared" si="94"/>
        <v>0</v>
      </c>
      <c r="BE83" s="24">
        <f t="shared" si="94"/>
        <v>0</v>
      </c>
      <c r="BF83" s="24">
        <f t="shared" si="94"/>
        <v>0</v>
      </c>
      <c r="BG83" s="24">
        <f t="shared" si="94"/>
        <v>0</v>
      </c>
      <c r="BH83" s="24">
        <f t="shared" si="94"/>
        <v>0</v>
      </c>
      <c r="BI83" s="24">
        <f t="shared" si="94"/>
        <v>0</v>
      </c>
      <c r="BJ83" s="24">
        <f t="shared" si="94"/>
        <v>6990000</v>
      </c>
      <c r="BK83" s="24">
        <f t="shared" si="94"/>
        <v>0</v>
      </c>
      <c r="BL83" s="24">
        <f t="shared" si="94"/>
        <v>0</v>
      </c>
      <c r="BM83" s="24">
        <f t="shared" si="94"/>
        <v>0</v>
      </c>
      <c r="BN83" s="24"/>
      <c r="BO83" s="24"/>
      <c r="BP83" s="24">
        <f t="shared" si="78"/>
        <v>0</v>
      </c>
      <c r="BQ83" s="24">
        <f t="shared" si="95"/>
        <v>0</v>
      </c>
      <c r="BR83" s="25">
        <f t="shared" si="89"/>
        <v>0.63860614999999998</v>
      </c>
      <c r="BS83" s="24">
        <f t="shared" si="80"/>
        <v>12772123</v>
      </c>
      <c r="BT83" s="24"/>
      <c r="BU83" s="24"/>
      <c r="BV83" s="24"/>
      <c r="BW83" s="24"/>
      <c r="BX83" s="24">
        <f>+'[4]DICIEMBRE 2016'!$O$4634</f>
        <v>9762123</v>
      </c>
      <c r="BY83" s="24"/>
      <c r="BZ83" s="24"/>
      <c r="CA83" s="24"/>
      <c r="CB83" s="24"/>
      <c r="CC83" s="24"/>
      <c r="CD83" s="24"/>
      <c r="CE83" s="24"/>
      <c r="CF83" s="24">
        <f>+'[5]NOVIEMBRE 2016'!$W$4398</f>
        <v>3010000</v>
      </c>
      <c r="CG83" s="24"/>
      <c r="CH83" s="24"/>
      <c r="CI83" s="24"/>
      <c r="CJ83" s="24"/>
      <c r="CK83" s="24"/>
      <c r="CL83" s="24"/>
      <c r="CM83" s="24"/>
      <c r="CN83" s="25">
        <f t="shared" si="90"/>
        <v>0.36139385000000002</v>
      </c>
      <c r="CO83" s="24">
        <f t="shared" si="81"/>
        <v>7227877</v>
      </c>
      <c r="CP83" s="24">
        <f t="shared" si="99"/>
        <v>0</v>
      </c>
      <c r="CQ83" s="24">
        <f t="shared" si="99"/>
        <v>0</v>
      </c>
      <c r="CR83" s="24">
        <f t="shared" si="99"/>
        <v>0</v>
      </c>
      <c r="CS83" s="24">
        <f t="shared" si="99"/>
        <v>237877</v>
      </c>
      <c r="CT83" s="24">
        <f t="shared" si="99"/>
        <v>0</v>
      </c>
      <c r="CU83" s="24">
        <f t="shared" si="99"/>
        <v>0</v>
      </c>
      <c r="CV83" s="24">
        <f t="shared" si="100"/>
        <v>0</v>
      </c>
      <c r="CW83" s="24">
        <f t="shared" si="100"/>
        <v>0</v>
      </c>
      <c r="CX83" s="24">
        <f t="shared" si="100"/>
        <v>0</v>
      </c>
      <c r="CY83" s="24">
        <f t="shared" si="84"/>
        <v>0</v>
      </c>
      <c r="CZ83" s="24">
        <f t="shared" si="84"/>
        <v>0</v>
      </c>
      <c r="DA83" s="24">
        <f t="shared" si="84"/>
        <v>6990000</v>
      </c>
      <c r="DB83" s="24">
        <f t="shared" si="97"/>
        <v>0</v>
      </c>
      <c r="DC83" s="24">
        <f t="shared" si="97"/>
        <v>0</v>
      </c>
      <c r="DD83" s="24">
        <f t="shared" si="97"/>
        <v>0</v>
      </c>
      <c r="DE83" s="24"/>
      <c r="DF83" s="24">
        <f t="shared" si="101"/>
        <v>0</v>
      </c>
      <c r="DG83" s="54">
        <f t="shared" si="101"/>
        <v>0</v>
      </c>
      <c r="DH83" s="24">
        <f t="shared" si="98"/>
        <v>0</v>
      </c>
      <c r="DJ83" s="194"/>
      <c r="DK83" s="194"/>
      <c r="DL83" s="198"/>
      <c r="DM83" s="199"/>
      <c r="DN83" s="200"/>
    </row>
    <row r="84" spans="1:118" ht="30.75" hidden="1" customHeight="1" x14ac:dyDescent="0.25">
      <c r="A84" s="237"/>
      <c r="B84" s="240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93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88"/>
        <v>0.97</v>
      </c>
      <c r="AB84" s="24">
        <f t="shared" si="87"/>
        <v>4850000</v>
      </c>
      <c r="AC84" s="24"/>
      <c r="AD84" s="24"/>
      <c r="AE84" s="24"/>
      <c r="AF84" s="24"/>
      <c r="AG84" s="24">
        <f>+'[2]DICIEMBRE 2016'!$O$4642</f>
        <v>948558</v>
      </c>
      <c r="AH84" s="24"/>
      <c r="AI84" s="24"/>
      <c r="AJ84" s="24"/>
      <c r="AK84" s="24"/>
      <c r="AL84" s="24"/>
      <c r="AM84" s="24"/>
      <c r="AN84" s="24"/>
      <c r="AO84" s="24">
        <f>+'[2]DICIEMBRE 2016'!$W$4642</f>
        <v>3901442</v>
      </c>
      <c r="AP84" s="24"/>
      <c r="AQ84" s="24"/>
      <c r="AR84" s="24"/>
      <c r="AS84" s="24"/>
      <c r="AT84" s="24"/>
      <c r="AU84" s="24"/>
      <c r="AV84" s="24"/>
      <c r="AW84" s="25">
        <f t="shared" si="91"/>
        <v>3.0000000000000027E-2</v>
      </c>
      <c r="AX84" s="24">
        <f t="shared" si="75"/>
        <v>150000</v>
      </c>
      <c r="AY84" s="24">
        <f t="shared" si="76"/>
        <v>0</v>
      </c>
      <c r="AZ84" s="24">
        <f t="shared" si="76"/>
        <v>0</v>
      </c>
      <c r="BA84" s="24">
        <f t="shared" si="76"/>
        <v>0</v>
      </c>
      <c r="BB84" s="24">
        <f t="shared" si="94"/>
        <v>150000</v>
      </c>
      <c r="BC84" s="24">
        <f t="shared" si="94"/>
        <v>0</v>
      </c>
      <c r="BD84" s="24">
        <f t="shared" si="94"/>
        <v>0</v>
      </c>
      <c r="BE84" s="24">
        <f t="shared" si="94"/>
        <v>0</v>
      </c>
      <c r="BF84" s="24">
        <f t="shared" si="94"/>
        <v>0</v>
      </c>
      <c r="BG84" s="24">
        <f t="shared" si="94"/>
        <v>0</v>
      </c>
      <c r="BH84" s="24">
        <f t="shared" si="94"/>
        <v>0</v>
      </c>
      <c r="BI84" s="24">
        <f t="shared" si="94"/>
        <v>0</v>
      </c>
      <c r="BJ84" s="24">
        <f t="shared" si="94"/>
        <v>0</v>
      </c>
      <c r="BK84" s="24">
        <f t="shared" si="94"/>
        <v>0</v>
      </c>
      <c r="BL84" s="24">
        <f t="shared" si="94"/>
        <v>0</v>
      </c>
      <c r="BM84" s="24">
        <f t="shared" si="94"/>
        <v>0</v>
      </c>
      <c r="BN84" s="24"/>
      <c r="BO84" s="24"/>
      <c r="BP84" s="24">
        <f t="shared" si="78"/>
        <v>0</v>
      </c>
      <c r="BQ84" s="24">
        <f t="shared" si="95"/>
        <v>0</v>
      </c>
      <c r="BR84" s="25">
        <f t="shared" si="89"/>
        <v>0.97</v>
      </c>
      <c r="BS84" s="24">
        <f t="shared" si="80"/>
        <v>4850000</v>
      </c>
      <c r="BT84" s="24"/>
      <c r="BU84" s="24"/>
      <c r="BV84" s="24"/>
      <c r="BW84" s="24"/>
      <c r="BX84" s="24">
        <f>+'[5]NOVIEMBRE 2016'!$H$4410</f>
        <v>948558</v>
      </c>
      <c r="BY84" s="24"/>
      <c r="BZ84" s="24"/>
      <c r="CA84" s="24"/>
      <c r="CB84" s="24"/>
      <c r="CC84" s="24"/>
      <c r="CD84" s="24"/>
      <c r="CE84" s="24"/>
      <c r="CF84" s="24">
        <f>+'[5]NOVIEMBRE 2016'!$H$4412</f>
        <v>3901442</v>
      </c>
      <c r="CG84" s="24"/>
      <c r="CH84" s="24"/>
      <c r="CI84" s="24"/>
      <c r="CJ84" s="24"/>
      <c r="CK84" s="24"/>
      <c r="CL84" s="24"/>
      <c r="CM84" s="24"/>
      <c r="CN84" s="25">
        <f t="shared" si="90"/>
        <v>3.0000000000000027E-2</v>
      </c>
      <c r="CO84" s="24">
        <f t="shared" si="81"/>
        <v>150000</v>
      </c>
      <c r="CP84" s="24">
        <f t="shared" si="99"/>
        <v>0</v>
      </c>
      <c r="CQ84" s="24">
        <f t="shared" si="99"/>
        <v>0</v>
      </c>
      <c r="CR84" s="24">
        <f t="shared" si="99"/>
        <v>0</v>
      </c>
      <c r="CS84" s="24">
        <f t="shared" si="99"/>
        <v>150000</v>
      </c>
      <c r="CT84" s="24">
        <f t="shared" si="99"/>
        <v>0</v>
      </c>
      <c r="CU84" s="24">
        <f t="shared" si="99"/>
        <v>0</v>
      </c>
      <c r="CV84" s="24">
        <f t="shared" si="100"/>
        <v>0</v>
      </c>
      <c r="CW84" s="24">
        <f t="shared" si="100"/>
        <v>0</v>
      </c>
      <c r="CX84" s="24">
        <f t="shared" si="100"/>
        <v>0</v>
      </c>
      <c r="CY84" s="24">
        <f t="shared" si="84"/>
        <v>0</v>
      </c>
      <c r="CZ84" s="24">
        <f t="shared" si="84"/>
        <v>0</v>
      </c>
      <c r="DA84" s="24">
        <f t="shared" si="84"/>
        <v>0</v>
      </c>
      <c r="DB84" s="24">
        <f t="shared" si="97"/>
        <v>0</v>
      </c>
      <c r="DC84" s="24">
        <f t="shared" si="97"/>
        <v>0</v>
      </c>
      <c r="DD84" s="24">
        <f t="shared" si="97"/>
        <v>0</v>
      </c>
      <c r="DE84" s="24"/>
      <c r="DF84" s="24">
        <f t="shared" si="101"/>
        <v>0</v>
      </c>
      <c r="DG84" s="54">
        <f t="shared" si="101"/>
        <v>0</v>
      </c>
      <c r="DH84" s="24">
        <f t="shared" si="98"/>
        <v>0</v>
      </c>
      <c r="DJ84" s="194"/>
      <c r="DK84" s="194"/>
      <c r="DL84" s="198"/>
      <c r="DM84" s="199"/>
      <c r="DN84" s="200"/>
    </row>
    <row r="85" spans="1:118" ht="21" hidden="1" customHeight="1" x14ac:dyDescent="0.25">
      <c r="A85" s="237"/>
      <c r="B85" s="241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93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88"/>
        <v>0.99412374999999997</v>
      </c>
      <c r="AB85" s="24">
        <f t="shared" si="87"/>
        <v>19882475</v>
      </c>
      <c r="AC85" s="24"/>
      <c r="AD85" s="24"/>
      <c r="AE85" s="24"/>
      <c r="AF85" s="24"/>
      <c r="AG85" s="24">
        <f>+'[13]ABRIL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+'[2]DICIEMBRE 2016'!$W$4651</f>
        <v>9932475</v>
      </c>
      <c r="AP85" s="24"/>
      <c r="AQ85" s="24"/>
      <c r="AR85" s="24"/>
      <c r="AS85" s="24"/>
      <c r="AT85" s="24"/>
      <c r="AU85" s="24"/>
      <c r="AV85" s="24"/>
      <c r="AW85" s="25">
        <f t="shared" si="91"/>
        <v>5.8762500000000273E-3</v>
      </c>
      <c r="AX85" s="24">
        <f t="shared" si="75"/>
        <v>117525</v>
      </c>
      <c r="AY85" s="24">
        <f t="shared" si="76"/>
        <v>0</v>
      </c>
      <c r="AZ85" s="24">
        <f t="shared" si="76"/>
        <v>0</v>
      </c>
      <c r="BA85" s="24">
        <f t="shared" si="76"/>
        <v>0</v>
      </c>
      <c r="BB85" s="24">
        <f t="shared" si="94"/>
        <v>50000</v>
      </c>
      <c r="BC85" s="24">
        <f t="shared" si="94"/>
        <v>0</v>
      </c>
      <c r="BD85" s="24">
        <f t="shared" si="94"/>
        <v>0</v>
      </c>
      <c r="BE85" s="24">
        <f t="shared" si="94"/>
        <v>0</v>
      </c>
      <c r="BF85" s="24">
        <f t="shared" si="94"/>
        <v>0</v>
      </c>
      <c r="BG85" s="24">
        <f t="shared" si="94"/>
        <v>0</v>
      </c>
      <c r="BH85" s="24">
        <f t="shared" si="94"/>
        <v>0</v>
      </c>
      <c r="BI85" s="24">
        <f t="shared" si="94"/>
        <v>0</v>
      </c>
      <c r="BJ85" s="24">
        <f t="shared" si="94"/>
        <v>67525</v>
      </c>
      <c r="BK85" s="24">
        <f t="shared" si="94"/>
        <v>0</v>
      </c>
      <c r="BL85" s="24">
        <f t="shared" si="94"/>
        <v>0</v>
      </c>
      <c r="BM85" s="24">
        <f t="shared" si="94"/>
        <v>0</v>
      </c>
      <c r="BN85" s="24"/>
      <c r="BO85" s="24">
        <f>+X85-AT85</f>
        <v>0</v>
      </c>
      <c r="BP85" s="24">
        <f t="shared" si="78"/>
        <v>0</v>
      </c>
      <c r="BQ85" s="24">
        <f t="shared" si="95"/>
        <v>0</v>
      </c>
      <c r="BR85" s="25">
        <f t="shared" si="89"/>
        <v>0.99412374999999997</v>
      </c>
      <c r="BS85" s="24">
        <f t="shared" si="80"/>
        <v>19882475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+'[2]DICIEMBRE 2016'!$W$4651</f>
        <v>9932475</v>
      </c>
      <c r="CG85" s="24"/>
      <c r="CH85" s="24"/>
      <c r="CI85" s="24"/>
      <c r="CJ85" s="24"/>
      <c r="CK85" s="24"/>
      <c r="CL85" s="24"/>
      <c r="CM85" s="24"/>
      <c r="CN85" s="25">
        <f t="shared" si="90"/>
        <v>5.8762500000000273E-3</v>
      </c>
      <c r="CO85" s="24">
        <f t="shared" si="81"/>
        <v>117525</v>
      </c>
      <c r="CP85" s="24">
        <f t="shared" si="99"/>
        <v>0</v>
      </c>
      <c r="CQ85" s="24">
        <f t="shared" si="99"/>
        <v>0</v>
      </c>
      <c r="CR85" s="24">
        <f t="shared" si="99"/>
        <v>0</v>
      </c>
      <c r="CS85" s="24">
        <f t="shared" si="99"/>
        <v>50000</v>
      </c>
      <c r="CT85" s="24">
        <f t="shared" si="99"/>
        <v>0</v>
      </c>
      <c r="CU85" s="24">
        <f t="shared" si="99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4"/>
        <v>0</v>
      </c>
      <c r="CZ85" s="24">
        <f t="shared" si="84"/>
        <v>0</v>
      </c>
      <c r="DA85" s="24">
        <f t="shared" si="84"/>
        <v>67525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  <c r="DJ85" s="194"/>
      <c r="DK85" s="194"/>
      <c r="DL85" s="198"/>
      <c r="DM85" s="199"/>
      <c r="DN85" s="200"/>
    </row>
    <row r="86" spans="1:118" s="58" customFormat="1" ht="35.25" hidden="1" customHeight="1" x14ac:dyDescent="0.25">
      <c r="A86" s="237" t="s">
        <v>183</v>
      </c>
      <c r="B86" s="239" t="s">
        <v>245</v>
      </c>
      <c r="C86" s="68" t="s">
        <v>246</v>
      </c>
      <c r="D86" s="21" t="s">
        <v>247</v>
      </c>
      <c r="E86" s="64">
        <v>520</v>
      </c>
      <c r="F86" s="67" t="s">
        <v>91</v>
      </c>
      <c r="G86" s="24">
        <f t="shared" si="93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88"/>
        <v>0.6</v>
      </c>
      <c r="AB86" s="24">
        <f t="shared" si="87"/>
        <v>3600000</v>
      </c>
      <c r="AC86" s="54"/>
      <c r="AD86" s="54"/>
      <c r="AE86" s="54"/>
      <c r="AF86" s="54"/>
      <c r="AG86" s="24">
        <f>+'[10]SEPTIEMBRE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1"/>
        <v>0.4</v>
      </c>
      <c r="AX86" s="24">
        <f t="shared" si="75"/>
        <v>2400000</v>
      </c>
      <c r="AY86" s="54">
        <f t="shared" si="76"/>
        <v>0</v>
      </c>
      <c r="AZ86" s="54">
        <f t="shared" si="76"/>
        <v>0</v>
      </c>
      <c r="BA86" s="24">
        <f t="shared" si="76"/>
        <v>0</v>
      </c>
      <c r="BB86" s="54">
        <f t="shared" si="94"/>
        <v>2400000</v>
      </c>
      <c r="BC86" s="54">
        <f t="shared" si="94"/>
        <v>0</v>
      </c>
      <c r="BD86" s="24">
        <f t="shared" si="94"/>
        <v>0</v>
      </c>
      <c r="BE86" s="54">
        <f t="shared" si="94"/>
        <v>0</v>
      </c>
      <c r="BF86" s="54">
        <f t="shared" si="94"/>
        <v>0</v>
      </c>
      <c r="BG86" s="24">
        <f t="shared" si="94"/>
        <v>0</v>
      </c>
      <c r="BH86" s="54">
        <f t="shared" si="94"/>
        <v>0</v>
      </c>
      <c r="BI86" s="54">
        <f t="shared" si="94"/>
        <v>0</v>
      </c>
      <c r="BJ86" s="54">
        <f t="shared" si="94"/>
        <v>0</v>
      </c>
      <c r="BK86" s="54">
        <f t="shared" si="94"/>
        <v>0</v>
      </c>
      <c r="BL86" s="54">
        <f t="shared" si="94"/>
        <v>0</v>
      </c>
      <c r="BM86" s="54">
        <f t="shared" si="94"/>
        <v>0</v>
      </c>
      <c r="BN86" s="54"/>
      <c r="BO86" s="54"/>
      <c r="BP86" s="24">
        <f t="shared" si="78"/>
        <v>0</v>
      </c>
      <c r="BQ86" s="54">
        <f t="shared" si="95"/>
        <v>0</v>
      </c>
      <c r="BR86" s="57">
        <f t="shared" si="89"/>
        <v>0.6</v>
      </c>
      <c r="BS86" s="24">
        <f t="shared" si="80"/>
        <v>3600000</v>
      </c>
      <c r="BT86" s="54"/>
      <c r="BU86" s="54"/>
      <c r="BV86" s="54"/>
      <c r="BW86" s="54"/>
      <c r="BX86" s="54">
        <f>+'[10]SEPTIEMBRE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90"/>
        <v>0.4</v>
      </c>
      <c r="CO86" s="24">
        <f t="shared" si="81"/>
        <v>2400000</v>
      </c>
      <c r="CP86" s="24">
        <f t="shared" si="99"/>
        <v>0</v>
      </c>
      <c r="CQ86" s="54">
        <f t="shared" si="99"/>
        <v>0</v>
      </c>
      <c r="CR86" s="24">
        <f t="shared" si="99"/>
        <v>0</v>
      </c>
      <c r="CS86" s="54">
        <f t="shared" si="99"/>
        <v>2400000</v>
      </c>
      <c r="CT86" s="54">
        <f t="shared" si="99"/>
        <v>0</v>
      </c>
      <c r="CU86" s="24">
        <f t="shared" si="99"/>
        <v>0</v>
      </c>
      <c r="CV86" s="54">
        <f t="shared" ref="CV86:DD92" si="102">+N86-CA86</f>
        <v>0</v>
      </c>
      <c r="CW86" s="54">
        <f t="shared" si="102"/>
        <v>0</v>
      </c>
      <c r="CX86" s="24">
        <f t="shared" si="102"/>
        <v>0</v>
      </c>
      <c r="CY86" s="54">
        <f t="shared" si="84"/>
        <v>0</v>
      </c>
      <c r="CZ86" s="54">
        <f t="shared" si="84"/>
        <v>0</v>
      </c>
      <c r="DA86" s="54">
        <f t="shared" si="84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  <c r="DJ86" s="194"/>
      <c r="DK86" s="194"/>
      <c r="DL86" s="198"/>
      <c r="DM86" s="199"/>
      <c r="DN86" s="200"/>
    </row>
    <row r="87" spans="1:118" s="58" customFormat="1" ht="49.5" hidden="1" customHeight="1" x14ac:dyDescent="0.25">
      <c r="A87" s="237"/>
      <c r="B87" s="241"/>
      <c r="C87" s="68" t="s">
        <v>248</v>
      </c>
      <c r="D87" s="21" t="s">
        <v>249</v>
      </c>
      <c r="E87" s="64">
        <v>520</v>
      </c>
      <c r="F87" s="67" t="s">
        <v>91</v>
      </c>
      <c r="G87" s="24">
        <f t="shared" si="93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88"/>
        <v>0</v>
      </c>
      <c r="AB87" s="24">
        <f t="shared" si="87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1"/>
        <v>1</v>
      </c>
      <c r="AX87" s="24">
        <f t="shared" si="75"/>
        <v>6000000</v>
      </c>
      <c r="AY87" s="54">
        <f t="shared" si="76"/>
        <v>0</v>
      </c>
      <c r="AZ87" s="54">
        <f t="shared" si="76"/>
        <v>0</v>
      </c>
      <c r="BA87" s="24">
        <f t="shared" si="76"/>
        <v>0</v>
      </c>
      <c r="BB87" s="54">
        <f t="shared" si="94"/>
        <v>6000000</v>
      </c>
      <c r="BC87" s="54">
        <f t="shared" si="94"/>
        <v>0</v>
      </c>
      <c r="BD87" s="24">
        <f t="shared" si="94"/>
        <v>0</v>
      </c>
      <c r="BE87" s="54">
        <f t="shared" si="94"/>
        <v>0</v>
      </c>
      <c r="BF87" s="54">
        <f t="shared" si="94"/>
        <v>0</v>
      </c>
      <c r="BG87" s="24">
        <f t="shared" si="94"/>
        <v>0</v>
      </c>
      <c r="BH87" s="54">
        <f t="shared" si="94"/>
        <v>0</v>
      </c>
      <c r="BI87" s="54">
        <f t="shared" si="94"/>
        <v>0</v>
      </c>
      <c r="BJ87" s="54">
        <f t="shared" si="94"/>
        <v>0</v>
      </c>
      <c r="BK87" s="54">
        <f t="shared" si="94"/>
        <v>0</v>
      </c>
      <c r="BL87" s="54">
        <f t="shared" si="94"/>
        <v>0</v>
      </c>
      <c r="BM87" s="54">
        <f t="shared" si="94"/>
        <v>0</v>
      </c>
      <c r="BN87" s="54"/>
      <c r="BO87" s="54">
        <f>+X87-AT87</f>
        <v>0</v>
      </c>
      <c r="BP87" s="24">
        <f t="shared" si="78"/>
        <v>0</v>
      </c>
      <c r="BQ87" s="54">
        <f t="shared" si="95"/>
        <v>0</v>
      </c>
      <c r="BR87" s="57">
        <f t="shared" si="89"/>
        <v>0</v>
      </c>
      <c r="BS87" s="24">
        <f t="shared" si="80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90"/>
        <v>1</v>
      </c>
      <c r="CO87" s="24">
        <f t="shared" si="81"/>
        <v>6000000</v>
      </c>
      <c r="CP87" s="24">
        <f t="shared" si="99"/>
        <v>0</v>
      </c>
      <c r="CQ87" s="54">
        <f t="shared" si="99"/>
        <v>0</v>
      </c>
      <c r="CR87" s="24">
        <f t="shared" si="99"/>
        <v>0</v>
      </c>
      <c r="CS87" s="54">
        <f t="shared" si="99"/>
        <v>6000000</v>
      </c>
      <c r="CT87" s="54">
        <f t="shared" si="99"/>
        <v>0</v>
      </c>
      <c r="CU87" s="24">
        <f t="shared" si="99"/>
        <v>0</v>
      </c>
      <c r="CV87" s="54">
        <f t="shared" si="102"/>
        <v>0</v>
      </c>
      <c r="CW87" s="54">
        <f t="shared" si="102"/>
        <v>0</v>
      </c>
      <c r="CX87" s="24">
        <f t="shared" si="102"/>
        <v>0</v>
      </c>
      <c r="CY87" s="54">
        <f t="shared" si="84"/>
        <v>0</v>
      </c>
      <c r="CZ87" s="54">
        <f t="shared" si="84"/>
        <v>0</v>
      </c>
      <c r="DA87" s="54">
        <f t="shared" si="84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  <c r="DJ87" s="194"/>
      <c r="DK87" s="194"/>
      <c r="DL87" s="198"/>
      <c r="DM87" s="199"/>
      <c r="DN87" s="200"/>
    </row>
    <row r="88" spans="1:118" ht="33" hidden="1" customHeight="1" x14ac:dyDescent="0.25">
      <c r="A88" s="237"/>
      <c r="B88" s="239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93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88"/>
        <v>1</v>
      </c>
      <c r="AB88" s="24">
        <f t="shared" si="87"/>
        <v>33106800</v>
      </c>
      <c r="AC88" s="24"/>
      <c r="AD88" s="24"/>
      <c r="AE88" s="24"/>
      <c r="AF88" s="24"/>
      <c r="AG88" s="24">
        <f>+'[3]ENERO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1"/>
        <v>0</v>
      </c>
      <c r="AX88" s="24">
        <f t="shared" si="75"/>
        <v>0</v>
      </c>
      <c r="AY88" s="24">
        <f t="shared" si="76"/>
        <v>0</v>
      </c>
      <c r="AZ88" s="24">
        <f t="shared" si="76"/>
        <v>0</v>
      </c>
      <c r="BA88" s="24">
        <f t="shared" si="76"/>
        <v>0</v>
      </c>
      <c r="BB88" s="24">
        <f t="shared" si="94"/>
        <v>0</v>
      </c>
      <c r="BC88" s="24">
        <f t="shared" si="94"/>
        <v>0</v>
      </c>
      <c r="BD88" s="24">
        <f t="shared" si="94"/>
        <v>0</v>
      </c>
      <c r="BE88" s="54">
        <f t="shared" si="94"/>
        <v>0</v>
      </c>
      <c r="BF88" s="24">
        <f t="shared" si="94"/>
        <v>0</v>
      </c>
      <c r="BG88" s="24">
        <f t="shared" si="94"/>
        <v>0</v>
      </c>
      <c r="BH88" s="24">
        <f t="shared" si="94"/>
        <v>0</v>
      </c>
      <c r="BI88" s="24">
        <f t="shared" si="94"/>
        <v>0</v>
      </c>
      <c r="BJ88" s="24">
        <f t="shared" si="94"/>
        <v>0</v>
      </c>
      <c r="BK88" s="24">
        <f t="shared" si="94"/>
        <v>0</v>
      </c>
      <c r="BL88" s="24">
        <f t="shared" si="94"/>
        <v>0</v>
      </c>
      <c r="BM88" s="24">
        <f t="shared" si="94"/>
        <v>0</v>
      </c>
      <c r="BN88" s="24"/>
      <c r="BO88" s="24"/>
      <c r="BP88" s="24">
        <f t="shared" si="78"/>
        <v>0</v>
      </c>
      <c r="BQ88" s="24">
        <f t="shared" si="95"/>
        <v>0</v>
      </c>
      <c r="BR88" s="25">
        <f t="shared" si="89"/>
        <v>1</v>
      </c>
      <c r="BS88" s="24">
        <f t="shared" si="80"/>
        <v>33106800</v>
      </c>
      <c r="BT88" s="24"/>
      <c r="BU88" s="24"/>
      <c r="BV88" s="24"/>
      <c r="BW88" s="24"/>
      <c r="BX88" s="24">
        <f>+'[4]DICIEMBRE 2016'!$O$4691</f>
        <v>33106800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90"/>
        <v>0</v>
      </c>
      <c r="CO88" s="24">
        <f t="shared" si="81"/>
        <v>0</v>
      </c>
      <c r="CP88" s="24">
        <f t="shared" si="99"/>
        <v>0</v>
      </c>
      <c r="CQ88" s="54">
        <f t="shared" si="99"/>
        <v>0</v>
      </c>
      <c r="CR88" s="24">
        <f t="shared" si="99"/>
        <v>0</v>
      </c>
      <c r="CS88" s="24">
        <f t="shared" si="99"/>
        <v>0</v>
      </c>
      <c r="CT88" s="54">
        <f t="shared" si="99"/>
        <v>0</v>
      </c>
      <c r="CU88" s="24">
        <f t="shared" si="99"/>
        <v>0</v>
      </c>
      <c r="CV88" s="54">
        <f t="shared" si="102"/>
        <v>0</v>
      </c>
      <c r="CW88" s="54">
        <f t="shared" si="102"/>
        <v>0</v>
      </c>
      <c r="CX88" s="24">
        <f t="shared" si="102"/>
        <v>0</v>
      </c>
      <c r="CY88" s="54">
        <f t="shared" si="84"/>
        <v>0</v>
      </c>
      <c r="CZ88" s="24">
        <f t="shared" si="84"/>
        <v>0</v>
      </c>
      <c r="DA88" s="24">
        <f t="shared" si="84"/>
        <v>0</v>
      </c>
      <c r="DB88" s="24">
        <f t="shared" ref="DB88:DD90" si="103">+T88-CG88</f>
        <v>0</v>
      </c>
      <c r="DC88" s="24">
        <f t="shared" si="103"/>
        <v>0</v>
      </c>
      <c r="DD88" s="24">
        <f t="shared" si="103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  <c r="DJ88" s="194"/>
      <c r="DK88" s="194"/>
      <c r="DL88" s="198"/>
      <c r="DM88" s="199"/>
      <c r="DN88" s="200"/>
    </row>
    <row r="89" spans="1:118" ht="19.5" hidden="1" customHeight="1" x14ac:dyDescent="0.25">
      <c r="A89" s="237"/>
      <c r="B89" s="240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93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88"/>
        <v>1</v>
      </c>
      <c r="AB89" s="24">
        <f t="shared" si="87"/>
        <v>15184000</v>
      </c>
      <c r="AC89" s="24"/>
      <c r="AD89" s="24"/>
      <c r="AE89" s="24"/>
      <c r="AF89" s="24"/>
      <c r="AG89" s="24">
        <f>+'[3]ENERO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1"/>
        <v>0</v>
      </c>
      <c r="AX89" s="24">
        <f t="shared" si="75"/>
        <v>0</v>
      </c>
      <c r="AY89" s="24">
        <f t="shared" si="76"/>
        <v>0</v>
      </c>
      <c r="AZ89" s="24">
        <f t="shared" si="76"/>
        <v>0</v>
      </c>
      <c r="BA89" s="24">
        <f t="shared" si="76"/>
        <v>0</v>
      </c>
      <c r="BB89" s="24">
        <f t="shared" ref="BB89:BM92" si="104">+K89-AG89</f>
        <v>0</v>
      </c>
      <c r="BC89" s="24">
        <f t="shared" si="104"/>
        <v>0</v>
      </c>
      <c r="BD89" s="24">
        <f t="shared" si="104"/>
        <v>0</v>
      </c>
      <c r="BE89" s="54">
        <f t="shared" si="104"/>
        <v>0</v>
      </c>
      <c r="BF89" s="24">
        <f t="shared" si="104"/>
        <v>0</v>
      </c>
      <c r="BG89" s="24">
        <f t="shared" si="104"/>
        <v>0</v>
      </c>
      <c r="BH89" s="24">
        <f t="shared" si="104"/>
        <v>0</v>
      </c>
      <c r="BI89" s="24">
        <f t="shared" si="104"/>
        <v>0</v>
      </c>
      <c r="BJ89" s="24">
        <f t="shared" si="104"/>
        <v>0</v>
      </c>
      <c r="BK89" s="24">
        <f t="shared" si="104"/>
        <v>0</v>
      </c>
      <c r="BL89" s="24">
        <f t="shared" si="104"/>
        <v>0</v>
      </c>
      <c r="BM89" s="24">
        <f t="shared" si="104"/>
        <v>0</v>
      </c>
      <c r="BN89" s="24"/>
      <c r="BO89" s="24"/>
      <c r="BP89" s="24">
        <f t="shared" si="78"/>
        <v>0</v>
      </c>
      <c r="BQ89" s="24">
        <f t="shared" si="95"/>
        <v>0</v>
      </c>
      <c r="BR89" s="25">
        <f t="shared" si="89"/>
        <v>1</v>
      </c>
      <c r="BS89" s="24">
        <f t="shared" si="80"/>
        <v>15184000</v>
      </c>
      <c r="BT89" s="24"/>
      <c r="BU89" s="24"/>
      <c r="BV89" s="24"/>
      <c r="BW89" s="24"/>
      <c r="BX89" s="24">
        <f>+'[4]DICIEMBRE 2016'!$O$4701</f>
        <v>15184000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90"/>
        <v>0</v>
      </c>
      <c r="CO89" s="24">
        <f t="shared" si="81"/>
        <v>0</v>
      </c>
      <c r="CP89" s="24">
        <f t="shared" si="99"/>
        <v>0</v>
      </c>
      <c r="CQ89" s="54">
        <f t="shared" si="99"/>
        <v>0</v>
      </c>
      <c r="CR89" s="24">
        <f t="shared" si="99"/>
        <v>0</v>
      </c>
      <c r="CS89" s="24">
        <f t="shared" si="99"/>
        <v>0</v>
      </c>
      <c r="CT89" s="54">
        <f t="shared" si="99"/>
        <v>0</v>
      </c>
      <c r="CU89" s="24">
        <f t="shared" si="99"/>
        <v>0</v>
      </c>
      <c r="CV89" s="54">
        <f t="shared" si="102"/>
        <v>0</v>
      </c>
      <c r="CW89" s="54">
        <f t="shared" si="102"/>
        <v>0</v>
      </c>
      <c r="CX89" s="24">
        <f t="shared" si="102"/>
        <v>0</v>
      </c>
      <c r="CY89" s="54">
        <f t="shared" si="84"/>
        <v>0</v>
      </c>
      <c r="CZ89" s="24">
        <f t="shared" si="84"/>
        <v>0</v>
      </c>
      <c r="DA89" s="24">
        <f t="shared" si="84"/>
        <v>0</v>
      </c>
      <c r="DB89" s="24">
        <f t="shared" si="103"/>
        <v>0</v>
      </c>
      <c r="DC89" s="24">
        <f t="shared" si="103"/>
        <v>0</v>
      </c>
      <c r="DD89" s="24">
        <f t="shared" si="103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  <c r="DJ89" s="194"/>
      <c r="DK89" s="194"/>
      <c r="DL89" s="198"/>
      <c r="DM89" s="199"/>
      <c r="DN89" s="200"/>
    </row>
    <row r="90" spans="1:118" ht="45" hidden="1" x14ac:dyDescent="0.25">
      <c r="A90" s="237"/>
      <c r="B90" s="240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93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88"/>
        <v>0.72647052941176471</v>
      </c>
      <c r="AB90" s="24">
        <f t="shared" si="87"/>
        <v>12349999</v>
      </c>
      <c r="AC90" s="24"/>
      <c r="AD90" s="24"/>
      <c r="AE90" s="24"/>
      <c r="AF90" s="24"/>
      <c r="AG90" s="24">
        <f>+'[4]DICIEMBRE 2016'!$O$4713</f>
        <v>11349999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1"/>
        <v>0.27352947058823529</v>
      </c>
      <c r="AX90" s="24">
        <f t="shared" si="75"/>
        <v>4650001</v>
      </c>
      <c r="AY90" s="24">
        <f t="shared" si="76"/>
        <v>0</v>
      </c>
      <c r="AZ90" s="24">
        <f t="shared" si="76"/>
        <v>0</v>
      </c>
      <c r="BA90" s="24">
        <f t="shared" si="76"/>
        <v>0</v>
      </c>
      <c r="BB90" s="24">
        <f t="shared" si="104"/>
        <v>4650001</v>
      </c>
      <c r="BC90" s="24">
        <f t="shared" si="104"/>
        <v>0</v>
      </c>
      <c r="BD90" s="24">
        <f t="shared" si="104"/>
        <v>0</v>
      </c>
      <c r="BE90" s="54">
        <f t="shared" si="104"/>
        <v>0</v>
      </c>
      <c r="BF90" s="24">
        <f t="shared" si="104"/>
        <v>0</v>
      </c>
      <c r="BG90" s="24">
        <f t="shared" si="104"/>
        <v>0</v>
      </c>
      <c r="BH90" s="24">
        <f t="shared" si="104"/>
        <v>0</v>
      </c>
      <c r="BI90" s="24">
        <f t="shared" si="104"/>
        <v>0</v>
      </c>
      <c r="BJ90" s="24">
        <f t="shared" si="104"/>
        <v>0</v>
      </c>
      <c r="BK90" s="24">
        <f t="shared" si="104"/>
        <v>0</v>
      </c>
      <c r="BL90" s="24">
        <f t="shared" si="104"/>
        <v>0</v>
      </c>
      <c r="BM90" s="24">
        <f t="shared" si="104"/>
        <v>0</v>
      </c>
      <c r="BN90" s="24"/>
      <c r="BO90" s="24"/>
      <c r="BP90" s="24">
        <f t="shared" si="78"/>
        <v>0</v>
      </c>
      <c r="BQ90" s="24">
        <f t="shared" si="95"/>
        <v>0</v>
      </c>
      <c r="BR90" s="25">
        <f t="shared" si="89"/>
        <v>0.72647052941176471</v>
      </c>
      <c r="BS90" s="24">
        <f t="shared" si="80"/>
        <v>12349999</v>
      </c>
      <c r="BT90" s="24"/>
      <c r="BU90" s="24"/>
      <c r="BV90" s="24"/>
      <c r="BW90" s="24"/>
      <c r="BX90" s="24">
        <f>+'[4]DICIEMBRE 2016'!$O$4713</f>
        <v>11349999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>
        <f>+'[5]NOVIEMBRE 2016'!$AG$4470</f>
        <v>1000000</v>
      </c>
      <c r="CN90" s="57">
        <f t="shared" si="90"/>
        <v>0.27352947058823529</v>
      </c>
      <c r="CO90" s="24">
        <f t="shared" si="81"/>
        <v>4650001</v>
      </c>
      <c r="CP90" s="24">
        <f t="shared" si="99"/>
        <v>0</v>
      </c>
      <c r="CQ90" s="54">
        <f t="shared" si="99"/>
        <v>0</v>
      </c>
      <c r="CR90" s="24">
        <f t="shared" si="99"/>
        <v>0</v>
      </c>
      <c r="CS90" s="24">
        <f t="shared" si="99"/>
        <v>4650001</v>
      </c>
      <c r="CT90" s="54">
        <f t="shared" si="99"/>
        <v>0</v>
      </c>
      <c r="CU90" s="24">
        <f t="shared" si="99"/>
        <v>0</v>
      </c>
      <c r="CV90" s="54">
        <f t="shared" si="102"/>
        <v>0</v>
      </c>
      <c r="CW90" s="54">
        <f t="shared" si="102"/>
        <v>0</v>
      </c>
      <c r="CX90" s="24">
        <f t="shared" si="102"/>
        <v>0</v>
      </c>
      <c r="CY90" s="54">
        <f t="shared" si="84"/>
        <v>0</v>
      </c>
      <c r="CZ90" s="24">
        <f t="shared" si="84"/>
        <v>0</v>
      </c>
      <c r="DA90" s="24">
        <f t="shared" si="84"/>
        <v>0</v>
      </c>
      <c r="DB90" s="24">
        <f t="shared" si="103"/>
        <v>0</v>
      </c>
      <c r="DC90" s="24">
        <f t="shared" si="103"/>
        <v>0</v>
      </c>
      <c r="DD90" s="24">
        <f t="shared" si="103"/>
        <v>0</v>
      </c>
      <c r="DE90" s="24"/>
      <c r="DF90" s="24">
        <f>+X90-CK90</f>
        <v>0</v>
      </c>
      <c r="DG90" s="54">
        <f>Y90-CL90</f>
        <v>0</v>
      </c>
      <c r="DH90" s="24">
        <f>+Z90-CM90</f>
        <v>0</v>
      </c>
      <c r="DJ90" s="194" t="s">
        <v>411</v>
      </c>
      <c r="DK90" s="194"/>
      <c r="DL90" s="198"/>
      <c r="DM90" s="199"/>
      <c r="DN90" s="200"/>
    </row>
    <row r="91" spans="1:118" ht="21" hidden="1" customHeight="1" x14ac:dyDescent="0.25">
      <c r="A91" s="237"/>
      <c r="B91" s="240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93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88"/>
        <v>0.98502514506341121</v>
      </c>
      <c r="AB91" s="24">
        <f t="shared" si="87"/>
        <v>266655369</v>
      </c>
      <c r="AC91" s="72"/>
      <c r="AD91" s="72"/>
      <c r="AE91" s="72"/>
      <c r="AF91" s="72"/>
      <c r="AG91" s="72">
        <f>+'[3]ENERO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+'[4]DICIEMBRE 2016'!$W$4722</f>
        <v>230946169</v>
      </c>
      <c r="AP91" s="72"/>
      <c r="AQ91" s="72"/>
      <c r="AR91" s="72"/>
      <c r="AS91" s="72"/>
      <c r="AT91" s="72"/>
      <c r="AU91" s="72"/>
      <c r="AV91" s="72"/>
      <c r="AW91" s="25">
        <f t="shared" si="91"/>
        <v>1.4974854936588788E-2</v>
      </c>
      <c r="AX91" s="24">
        <f t="shared" si="75"/>
        <v>4053831</v>
      </c>
      <c r="AY91" s="24">
        <f t="shared" si="76"/>
        <v>0</v>
      </c>
      <c r="AZ91" s="24">
        <f t="shared" si="76"/>
        <v>0</v>
      </c>
      <c r="BA91" s="24">
        <f t="shared" si="76"/>
        <v>0</v>
      </c>
      <c r="BB91" s="24">
        <f t="shared" si="104"/>
        <v>0</v>
      </c>
      <c r="BC91" s="24">
        <f t="shared" si="104"/>
        <v>0</v>
      </c>
      <c r="BD91" s="24">
        <f t="shared" si="104"/>
        <v>0</v>
      </c>
      <c r="BE91" s="54">
        <f t="shared" si="104"/>
        <v>0</v>
      </c>
      <c r="BF91" s="24">
        <f t="shared" si="104"/>
        <v>0</v>
      </c>
      <c r="BG91" s="24">
        <f t="shared" si="104"/>
        <v>0</v>
      </c>
      <c r="BH91" s="24">
        <f t="shared" si="104"/>
        <v>0</v>
      </c>
      <c r="BI91" s="24">
        <f t="shared" si="104"/>
        <v>0</v>
      </c>
      <c r="BJ91" s="24">
        <f t="shared" si="104"/>
        <v>4053831</v>
      </c>
      <c r="BK91" s="24">
        <f t="shared" si="104"/>
        <v>0</v>
      </c>
      <c r="BL91" s="24">
        <f t="shared" si="104"/>
        <v>0</v>
      </c>
      <c r="BM91" s="24">
        <f t="shared" si="104"/>
        <v>0</v>
      </c>
      <c r="BN91" s="24"/>
      <c r="BO91" s="24">
        <f>+X91-AT91</f>
        <v>0</v>
      </c>
      <c r="BP91" s="24">
        <f t="shared" si="78"/>
        <v>0</v>
      </c>
      <c r="BQ91" s="24">
        <f t="shared" si="95"/>
        <v>0</v>
      </c>
      <c r="BR91" s="25">
        <f t="shared" si="89"/>
        <v>0.98502514506341121</v>
      </c>
      <c r="BS91" s="24">
        <f t="shared" si="80"/>
        <v>266655369</v>
      </c>
      <c r="BT91" s="72"/>
      <c r="BU91" s="72"/>
      <c r="BV91" s="72"/>
      <c r="BW91" s="72"/>
      <c r="BX91" s="72">
        <f>+'[1]OCTUBRE 2016'!$H$3956+'[1]OCTUBRE 2016'!$H$4006+'[1]OCTUBRE 2016'!$H$4007</f>
        <v>35709200</v>
      </c>
      <c r="BY91" s="72"/>
      <c r="BZ91" s="72"/>
      <c r="CA91" s="72"/>
      <c r="CB91" s="72"/>
      <c r="CC91" s="72"/>
      <c r="CD91" s="72"/>
      <c r="CE91" s="72"/>
      <c r="CF91" s="72">
        <f>+'[4]DICIEMBRE 2016'!$W$4722</f>
        <v>230946169</v>
      </c>
      <c r="CG91" s="72"/>
      <c r="CH91" s="72"/>
      <c r="CI91" s="72"/>
      <c r="CJ91" s="72"/>
      <c r="CK91" s="72"/>
      <c r="CL91" s="72"/>
      <c r="CM91" s="72"/>
      <c r="CN91" s="57">
        <f t="shared" si="90"/>
        <v>1.4974854936588788E-2</v>
      </c>
      <c r="CO91" s="24">
        <f t="shared" si="81"/>
        <v>4053831</v>
      </c>
      <c r="CP91" s="24">
        <f t="shared" si="99"/>
        <v>0</v>
      </c>
      <c r="CQ91" s="54">
        <f t="shared" si="99"/>
        <v>0</v>
      </c>
      <c r="CR91" s="24">
        <f t="shared" si="99"/>
        <v>0</v>
      </c>
      <c r="CS91" s="24">
        <f t="shared" si="99"/>
        <v>0</v>
      </c>
      <c r="CT91" s="54">
        <f t="shared" si="99"/>
        <v>0</v>
      </c>
      <c r="CU91" s="24">
        <f t="shared" si="99"/>
        <v>0</v>
      </c>
      <c r="CV91" s="54">
        <f t="shared" si="102"/>
        <v>0</v>
      </c>
      <c r="CW91" s="54">
        <f t="shared" si="102"/>
        <v>0</v>
      </c>
      <c r="CX91" s="24">
        <f t="shared" si="102"/>
        <v>0</v>
      </c>
      <c r="CY91" s="54">
        <f t="shared" si="84"/>
        <v>0</v>
      </c>
      <c r="CZ91" s="54">
        <f t="shared" si="84"/>
        <v>0</v>
      </c>
      <c r="DA91" s="54">
        <f t="shared" si="84"/>
        <v>4053831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  <c r="DJ91" s="194"/>
      <c r="DK91" s="194"/>
      <c r="DL91" s="198"/>
      <c r="DM91" s="199"/>
      <c r="DN91" s="200"/>
    </row>
    <row r="92" spans="1:118" ht="62.25" hidden="1" customHeight="1" x14ac:dyDescent="0.25">
      <c r="A92" s="238"/>
      <c r="B92" s="241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3"/>
        <v>64451472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26599846+5000000+955598+1000000+3500000+3000000+10000000+5396028+9000000</f>
        <v>64451472</v>
      </c>
      <c r="AA92" s="25">
        <f t="shared" si="88"/>
        <v>0.84929220856274623</v>
      </c>
      <c r="AB92" s="24">
        <f t="shared" si="87"/>
        <v>54738133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+'[2]DICIEMBRE 2016'!$AG$4775</f>
        <v>54738133</v>
      </c>
      <c r="AW92" s="25">
        <f t="shared" si="91"/>
        <v>0.15070779143725377</v>
      </c>
      <c r="AX92" s="24">
        <f t="shared" si="75"/>
        <v>9713339</v>
      </c>
      <c r="AY92" s="24">
        <f t="shared" si="76"/>
        <v>0</v>
      </c>
      <c r="AZ92" s="24">
        <f t="shared" si="76"/>
        <v>0</v>
      </c>
      <c r="BA92" s="24">
        <f t="shared" si="76"/>
        <v>0</v>
      </c>
      <c r="BB92" s="24">
        <f t="shared" si="104"/>
        <v>0</v>
      </c>
      <c r="BC92" s="24">
        <f t="shared" si="104"/>
        <v>0</v>
      </c>
      <c r="BD92" s="24">
        <f t="shared" si="104"/>
        <v>0</v>
      </c>
      <c r="BE92" s="54">
        <f t="shared" si="104"/>
        <v>0</v>
      </c>
      <c r="BF92" s="24">
        <f t="shared" si="104"/>
        <v>0</v>
      </c>
      <c r="BG92" s="24">
        <f t="shared" si="104"/>
        <v>0</v>
      </c>
      <c r="BH92" s="24">
        <f t="shared" si="104"/>
        <v>0</v>
      </c>
      <c r="BI92" s="24">
        <f t="shared" si="104"/>
        <v>0</v>
      </c>
      <c r="BJ92" s="24">
        <f t="shared" si="104"/>
        <v>0</v>
      </c>
      <c r="BK92" s="24">
        <f t="shared" si="104"/>
        <v>0</v>
      </c>
      <c r="BL92" s="24">
        <f t="shared" si="104"/>
        <v>0</v>
      </c>
      <c r="BM92" s="24">
        <f t="shared" si="104"/>
        <v>0</v>
      </c>
      <c r="BN92" s="24"/>
      <c r="BO92" s="24">
        <f>+X92-AT92</f>
        <v>0</v>
      </c>
      <c r="BP92" s="24">
        <f t="shared" si="78"/>
        <v>0</v>
      </c>
      <c r="BQ92" s="24">
        <f t="shared" si="95"/>
        <v>9713339</v>
      </c>
      <c r="BR92" s="25">
        <f t="shared" si="89"/>
        <v>0.84929220856274623</v>
      </c>
      <c r="BS92" s="24">
        <f t="shared" si="80"/>
        <v>54738133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+'[2]DICIEMBRE 2016'!$H$4773</f>
        <v>54738133</v>
      </c>
      <c r="CN92" s="57">
        <f t="shared" si="90"/>
        <v>0.15070779143725377</v>
      </c>
      <c r="CO92" s="24">
        <f t="shared" si="81"/>
        <v>9713339</v>
      </c>
      <c r="CP92" s="24">
        <f t="shared" si="99"/>
        <v>0</v>
      </c>
      <c r="CQ92" s="54">
        <f t="shared" si="99"/>
        <v>0</v>
      </c>
      <c r="CR92" s="24">
        <f t="shared" si="99"/>
        <v>0</v>
      </c>
      <c r="CS92" s="24">
        <f t="shared" si="99"/>
        <v>0</v>
      </c>
      <c r="CT92" s="54">
        <f t="shared" si="99"/>
        <v>0</v>
      </c>
      <c r="CU92" s="24">
        <f t="shared" si="99"/>
        <v>0</v>
      </c>
      <c r="CV92" s="54">
        <f t="shared" si="102"/>
        <v>0</v>
      </c>
      <c r="CW92" s="54">
        <f t="shared" si="102"/>
        <v>0</v>
      </c>
      <c r="CX92" s="24">
        <f t="shared" si="102"/>
        <v>0</v>
      </c>
      <c r="CY92" s="24">
        <f t="shared" si="102"/>
        <v>0</v>
      </c>
      <c r="CZ92" s="24">
        <f t="shared" si="102"/>
        <v>0</v>
      </c>
      <c r="DA92" s="24">
        <f t="shared" si="102"/>
        <v>0</v>
      </c>
      <c r="DB92" s="24">
        <f t="shared" si="102"/>
        <v>0</v>
      </c>
      <c r="DC92" s="24">
        <f t="shared" si="102"/>
        <v>0</v>
      </c>
      <c r="DD92" s="24">
        <f t="shared" si="102"/>
        <v>0</v>
      </c>
      <c r="DE92" s="24"/>
      <c r="DF92" s="24">
        <f>+X92-CK92</f>
        <v>0</v>
      </c>
      <c r="DG92" s="24">
        <f>+Y92-CL92</f>
        <v>0</v>
      </c>
      <c r="DH92" s="24">
        <f>+Z92-CM92</f>
        <v>9713339</v>
      </c>
      <c r="DJ92" s="194" t="s">
        <v>411</v>
      </c>
      <c r="DK92" s="194"/>
      <c r="DL92" s="198"/>
      <c r="DM92" s="199"/>
      <c r="DN92" s="200"/>
    </row>
    <row r="93" spans="1:118" s="43" customFormat="1" ht="20.25" customHeight="1" thickTop="1" thickBot="1" x14ac:dyDescent="0.3">
      <c r="A93" s="73"/>
      <c r="B93" s="292" t="s">
        <v>393</v>
      </c>
      <c r="C93" s="293"/>
      <c r="D93" s="293"/>
      <c r="E93" s="293"/>
      <c r="F93" s="294"/>
      <c r="G93" s="61">
        <f>SUM(G61:G92)</f>
        <v>1790134547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 t="shared" ref="K93:Z93" si="105">SUM(K61:K92)</f>
        <v>520000000</v>
      </c>
      <c r="L93" s="61">
        <f t="shared" si="105"/>
        <v>50000000</v>
      </c>
      <c r="M93" s="61">
        <f t="shared" si="105"/>
        <v>0</v>
      </c>
      <c r="N93" s="61">
        <f t="shared" si="105"/>
        <v>0</v>
      </c>
      <c r="O93" s="61">
        <f t="shared" si="105"/>
        <v>0</v>
      </c>
      <c r="P93" s="61">
        <f t="shared" si="105"/>
        <v>0</v>
      </c>
      <c r="Q93" s="61">
        <f t="shared" si="105"/>
        <v>0</v>
      </c>
      <c r="R93" s="61">
        <f t="shared" si="105"/>
        <v>244000000</v>
      </c>
      <c r="S93" s="61">
        <f t="shared" si="105"/>
        <v>333901442</v>
      </c>
      <c r="T93" s="61">
        <f t="shared" si="105"/>
        <v>0</v>
      </c>
      <c r="U93" s="61">
        <f t="shared" si="105"/>
        <v>0</v>
      </c>
      <c r="V93" s="61">
        <f t="shared" si="105"/>
        <v>0</v>
      </c>
      <c r="W93" s="61">
        <f t="shared" si="105"/>
        <v>0</v>
      </c>
      <c r="X93" s="61">
        <f t="shared" si="105"/>
        <v>0</v>
      </c>
      <c r="Y93" s="61">
        <f t="shared" si="105"/>
        <v>0</v>
      </c>
      <c r="Z93" s="61">
        <f t="shared" si="105"/>
        <v>642233105</v>
      </c>
      <c r="AA93" s="159">
        <f t="shared" si="88"/>
        <v>0.94110376888894265</v>
      </c>
      <c r="AB93" s="61">
        <f>SUM(AB61:AB92)</f>
        <v>1684702369</v>
      </c>
      <c r="AC93" s="61"/>
      <c r="AD93" s="61">
        <f t="shared" ref="AD93:AV93" si="106">SUM(AD61:AD92)</f>
        <v>0</v>
      </c>
      <c r="AE93" s="61">
        <f t="shared" si="106"/>
        <v>0</v>
      </c>
      <c r="AF93" s="61">
        <f t="shared" si="106"/>
        <v>0</v>
      </c>
      <c r="AG93" s="61">
        <f t="shared" si="106"/>
        <v>485265778</v>
      </c>
      <c r="AH93" s="61">
        <f t="shared" si="106"/>
        <v>49797725</v>
      </c>
      <c r="AI93" s="61">
        <f t="shared" si="106"/>
        <v>0</v>
      </c>
      <c r="AJ93" s="61">
        <f t="shared" si="106"/>
        <v>0</v>
      </c>
      <c r="AK93" s="61">
        <f t="shared" si="106"/>
        <v>0</v>
      </c>
      <c r="AL93" s="61">
        <f t="shared" si="106"/>
        <v>0</v>
      </c>
      <c r="AM93" s="61">
        <f t="shared" si="106"/>
        <v>0</v>
      </c>
      <c r="AN93" s="61">
        <f t="shared" si="106"/>
        <v>214647880</v>
      </c>
      <c r="AO93" s="61">
        <f t="shared" si="106"/>
        <v>317313672</v>
      </c>
      <c r="AP93" s="61">
        <f t="shared" si="106"/>
        <v>0</v>
      </c>
      <c r="AQ93" s="61">
        <f t="shared" si="106"/>
        <v>0</v>
      </c>
      <c r="AR93" s="61">
        <f t="shared" si="106"/>
        <v>0</v>
      </c>
      <c r="AS93" s="61">
        <f t="shared" si="106"/>
        <v>0</v>
      </c>
      <c r="AT93" s="61">
        <f t="shared" si="106"/>
        <v>0</v>
      </c>
      <c r="AU93" s="61">
        <f t="shared" si="106"/>
        <v>0</v>
      </c>
      <c r="AV93" s="61">
        <f t="shared" si="106"/>
        <v>617677314</v>
      </c>
      <c r="AW93" s="159">
        <f t="shared" si="91"/>
        <v>5.8896231111057351E-2</v>
      </c>
      <c r="AX93" s="61">
        <f>SUM(AX61:AX92)</f>
        <v>105432178</v>
      </c>
      <c r="AY93" s="61">
        <f t="shared" ref="AY93:BQ93" si="107">SUM(AY61:AY92)</f>
        <v>0</v>
      </c>
      <c r="AZ93" s="61">
        <f t="shared" si="107"/>
        <v>0</v>
      </c>
      <c r="BA93" s="61">
        <f t="shared" si="107"/>
        <v>0</v>
      </c>
      <c r="BB93" s="61">
        <f t="shared" si="107"/>
        <v>34734222</v>
      </c>
      <c r="BC93" s="61">
        <f t="shared" si="107"/>
        <v>202275</v>
      </c>
      <c r="BD93" s="61">
        <f t="shared" si="107"/>
        <v>0</v>
      </c>
      <c r="BE93" s="61">
        <f t="shared" si="107"/>
        <v>0</v>
      </c>
      <c r="BF93" s="61">
        <f t="shared" si="107"/>
        <v>0</v>
      </c>
      <c r="BG93" s="61">
        <f t="shared" si="107"/>
        <v>0</v>
      </c>
      <c r="BH93" s="61">
        <f t="shared" si="107"/>
        <v>0</v>
      </c>
      <c r="BI93" s="61">
        <f t="shared" si="107"/>
        <v>29352120</v>
      </c>
      <c r="BJ93" s="61">
        <f t="shared" si="107"/>
        <v>16587770</v>
      </c>
      <c r="BK93" s="61">
        <f t="shared" si="107"/>
        <v>0</v>
      </c>
      <c r="BL93" s="61">
        <f t="shared" si="107"/>
        <v>0</v>
      </c>
      <c r="BM93" s="61">
        <f t="shared" si="107"/>
        <v>0</v>
      </c>
      <c r="BN93" s="61">
        <f t="shared" si="107"/>
        <v>0</v>
      </c>
      <c r="BO93" s="61">
        <f t="shared" si="107"/>
        <v>0</v>
      </c>
      <c r="BP93" s="61">
        <f t="shared" si="107"/>
        <v>0</v>
      </c>
      <c r="BQ93" s="61">
        <f t="shared" si="107"/>
        <v>24555791</v>
      </c>
      <c r="BR93" s="159">
        <f t="shared" si="89"/>
        <v>0.94110376888894265</v>
      </c>
      <c r="BS93" s="61">
        <f t="shared" ref="BS93:CI93" si="108">SUM(BS61:BS92)</f>
        <v>1684702369</v>
      </c>
      <c r="BT93" s="61">
        <f t="shared" si="108"/>
        <v>0</v>
      </c>
      <c r="BU93" s="61">
        <f t="shared" si="108"/>
        <v>0</v>
      </c>
      <c r="BV93" s="61">
        <f t="shared" si="108"/>
        <v>0</v>
      </c>
      <c r="BW93" s="61">
        <f t="shared" si="108"/>
        <v>0</v>
      </c>
      <c r="BX93" s="61">
        <f t="shared" si="108"/>
        <v>485265778</v>
      </c>
      <c r="BY93" s="61">
        <f t="shared" si="108"/>
        <v>49797725</v>
      </c>
      <c r="BZ93" s="61">
        <f t="shared" si="108"/>
        <v>0</v>
      </c>
      <c r="CA93" s="61">
        <f t="shared" si="108"/>
        <v>0</v>
      </c>
      <c r="CB93" s="61">
        <f t="shared" si="108"/>
        <v>0</v>
      </c>
      <c r="CC93" s="61">
        <f t="shared" si="108"/>
        <v>0</v>
      </c>
      <c r="CD93" s="61">
        <f t="shared" si="108"/>
        <v>0</v>
      </c>
      <c r="CE93" s="61">
        <f t="shared" si="108"/>
        <v>214647880</v>
      </c>
      <c r="CF93" s="61">
        <f t="shared" si="108"/>
        <v>317313672</v>
      </c>
      <c r="CG93" s="61">
        <f t="shared" si="108"/>
        <v>0</v>
      </c>
      <c r="CH93" s="61">
        <f t="shared" si="108"/>
        <v>0</v>
      </c>
      <c r="CI93" s="61">
        <f t="shared" si="108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617677314</v>
      </c>
      <c r="CN93" s="159">
        <f t="shared" si="90"/>
        <v>5.8896231111057351E-2</v>
      </c>
      <c r="CO93" s="61">
        <f t="shared" ref="CO93:DH93" si="109">SUM(CO61:CO92)</f>
        <v>105432178</v>
      </c>
      <c r="CP93" s="61">
        <f t="shared" si="109"/>
        <v>0</v>
      </c>
      <c r="CQ93" s="61">
        <f t="shared" si="109"/>
        <v>0</v>
      </c>
      <c r="CR93" s="61">
        <f t="shared" si="109"/>
        <v>0</v>
      </c>
      <c r="CS93" s="61">
        <f t="shared" si="109"/>
        <v>34734222</v>
      </c>
      <c r="CT93" s="61">
        <f t="shared" si="109"/>
        <v>202275</v>
      </c>
      <c r="CU93" s="61">
        <f t="shared" si="109"/>
        <v>0</v>
      </c>
      <c r="CV93" s="61">
        <f t="shared" si="109"/>
        <v>0</v>
      </c>
      <c r="CW93" s="61">
        <f t="shared" si="109"/>
        <v>0</v>
      </c>
      <c r="CX93" s="61">
        <f t="shared" si="109"/>
        <v>0</v>
      </c>
      <c r="CY93" s="61">
        <f t="shared" si="109"/>
        <v>0</v>
      </c>
      <c r="CZ93" s="61">
        <f t="shared" si="109"/>
        <v>29352120</v>
      </c>
      <c r="DA93" s="61">
        <f t="shared" si="109"/>
        <v>16587770</v>
      </c>
      <c r="DB93" s="61">
        <f t="shared" si="109"/>
        <v>0</v>
      </c>
      <c r="DC93" s="61">
        <f t="shared" si="109"/>
        <v>0</v>
      </c>
      <c r="DD93" s="61">
        <f t="shared" si="109"/>
        <v>0</v>
      </c>
      <c r="DE93" s="61">
        <f t="shared" si="109"/>
        <v>0</v>
      </c>
      <c r="DF93" s="61">
        <f t="shared" si="109"/>
        <v>0</v>
      </c>
      <c r="DG93" s="61">
        <f t="shared" si="109"/>
        <v>0</v>
      </c>
      <c r="DH93" s="61">
        <f t="shared" si="109"/>
        <v>24555791</v>
      </c>
      <c r="DJ93" s="194" t="s">
        <v>411</v>
      </c>
      <c r="DK93" s="194"/>
      <c r="DL93" s="198">
        <v>1790134547</v>
      </c>
      <c r="DM93" s="199">
        <v>1684702369</v>
      </c>
      <c r="DN93" s="200">
        <v>0.94110000000000005</v>
      </c>
    </row>
    <row r="94" spans="1:118" s="43" customFormat="1" ht="27.75" hidden="1" customHeight="1" x14ac:dyDescent="0.25">
      <c r="A94" s="256" t="s">
        <v>263</v>
      </c>
      <c r="B94" s="239" t="s">
        <v>264</v>
      </c>
      <c r="C94" s="69" t="s">
        <v>265</v>
      </c>
      <c r="D94" s="21" t="s">
        <v>266</v>
      </c>
      <c r="E94" s="22">
        <v>301</v>
      </c>
      <c r="F94" s="23" t="s">
        <v>267</v>
      </c>
      <c r="G94" s="24">
        <f t="shared" ref="G94:G111" si="110">SUM(H94:Z94)</f>
        <v>79098382</v>
      </c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>
        <f>85000000-2924443-2977175</f>
        <v>79098382</v>
      </c>
      <c r="W94" s="24"/>
      <c r="X94" s="24"/>
      <c r="Y94" s="24"/>
      <c r="Z94" s="24"/>
      <c r="AA94" s="25">
        <f t="shared" ref="AA94:AA132" si="111">+AB94/G94</f>
        <v>0.81667619952074366</v>
      </c>
      <c r="AB94" s="24">
        <f t="shared" ref="AB94:AB111" si="112">SUM(AC94:AV94)</f>
        <v>64597766</v>
      </c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>
        <f>+'[4]DICIEMBRE 2016'!$Z$1067</f>
        <v>64597766</v>
      </c>
      <c r="AS94" s="24"/>
      <c r="AT94" s="24"/>
      <c r="AU94" s="24"/>
      <c r="AV94" s="24"/>
      <c r="AW94" s="25">
        <f t="shared" ref="AW94:AW132" si="113">1-AA94</f>
        <v>0.18332380047925634</v>
      </c>
      <c r="AX94" s="24">
        <f t="shared" ref="AX94:AX111" si="114">SUM(AY94:BQ94)</f>
        <v>14500616</v>
      </c>
      <c r="AY94" s="24">
        <f t="shared" ref="AY94:BM108" si="115">H94-AD94</f>
        <v>0</v>
      </c>
      <c r="AZ94" s="24">
        <f t="shared" si="115"/>
        <v>0</v>
      </c>
      <c r="BA94" s="24">
        <f t="shared" si="115"/>
        <v>0</v>
      </c>
      <c r="BB94" s="24">
        <f t="shared" ref="BB94:BM100" si="116">+K94-AG94</f>
        <v>0</v>
      </c>
      <c r="BC94" s="24">
        <f t="shared" si="116"/>
        <v>0</v>
      </c>
      <c r="BD94" s="24">
        <f t="shared" si="116"/>
        <v>0</v>
      </c>
      <c r="BE94" s="24">
        <f t="shared" si="116"/>
        <v>0</v>
      </c>
      <c r="BF94" s="24">
        <f t="shared" si="116"/>
        <v>0</v>
      </c>
      <c r="BG94" s="24">
        <f t="shared" si="116"/>
        <v>0</v>
      </c>
      <c r="BH94" s="24">
        <f t="shared" si="116"/>
        <v>0</v>
      </c>
      <c r="BI94" s="24">
        <f t="shared" si="116"/>
        <v>0</v>
      </c>
      <c r="BJ94" s="24">
        <f t="shared" si="116"/>
        <v>0</v>
      </c>
      <c r="BK94" s="24">
        <f t="shared" si="116"/>
        <v>0</v>
      </c>
      <c r="BL94" s="24">
        <f t="shared" si="116"/>
        <v>0</v>
      </c>
      <c r="BM94" s="24">
        <f t="shared" si="116"/>
        <v>14500616</v>
      </c>
      <c r="BN94" s="24"/>
      <c r="BO94" s="24"/>
      <c r="BP94" s="24">
        <f t="shared" ref="BP94:BP108" si="117">Y94-AU94</f>
        <v>0</v>
      </c>
      <c r="BQ94" s="24">
        <f t="shared" ref="BQ94:BQ100" si="118">+Z94-AV94</f>
        <v>0</v>
      </c>
      <c r="BR94" s="25">
        <f t="shared" ref="BR94:BR132" si="119">+BS94/G94</f>
        <v>0.81667619952074366</v>
      </c>
      <c r="BS94" s="24">
        <f t="shared" ref="BS94:BS111" si="120">SUM(BT94:CM94)</f>
        <v>64597766</v>
      </c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>
        <f>+'[4]DICIEMBRE 2016'!$H$1065</f>
        <v>64597766</v>
      </c>
      <c r="CJ94" s="24"/>
      <c r="CK94" s="24"/>
      <c r="CL94" s="24"/>
      <c r="CM94" s="24"/>
      <c r="CN94" s="25">
        <f t="shared" ref="CN94:CN132" si="121">1-BR94</f>
        <v>0.18332380047925634</v>
      </c>
      <c r="CO94" s="24">
        <f t="shared" ref="CO94:CO111" si="122">SUM(CP94:DH94)</f>
        <v>14500616</v>
      </c>
      <c r="CP94" s="24">
        <f t="shared" ref="CP94:CX108" si="123">H94-BU94</f>
        <v>0</v>
      </c>
      <c r="CQ94" s="24">
        <f t="shared" si="123"/>
        <v>0</v>
      </c>
      <c r="CR94" s="24">
        <f t="shared" si="123"/>
        <v>0</v>
      </c>
      <c r="CS94" s="24">
        <f t="shared" si="123"/>
        <v>0</v>
      </c>
      <c r="CT94" s="24">
        <f t="shared" si="123"/>
        <v>0</v>
      </c>
      <c r="CU94" s="24">
        <f t="shared" si="123"/>
        <v>0</v>
      </c>
      <c r="CV94" s="24">
        <f t="shared" ref="CV94:CX99" si="124">+N94-CA94</f>
        <v>0</v>
      </c>
      <c r="CW94" s="24">
        <f t="shared" si="124"/>
        <v>0</v>
      </c>
      <c r="CX94" s="24">
        <f t="shared" si="124"/>
        <v>0</v>
      </c>
      <c r="CY94" s="24">
        <f t="shared" ref="CY94:DA108" si="125">Q94-CD94</f>
        <v>0</v>
      </c>
      <c r="CZ94" s="24">
        <f t="shared" si="125"/>
        <v>0</v>
      </c>
      <c r="DA94" s="24">
        <f t="shared" si="125"/>
        <v>0</v>
      </c>
      <c r="DB94" s="24">
        <f t="shared" ref="DB94:DD100" si="126">+T94-CG94</f>
        <v>0</v>
      </c>
      <c r="DC94" s="24">
        <f t="shared" si="126"/>
        <v>0</v>
      </c>
      <c r="DD94" s="24">
        <f t="shared" si="126"/>
        <v>14500616</v>
      </c>
      <c r="DE94" s="24"/>
      <c r="DF94" s="24">
        <f t="shared" ref="DF94:DH100" si="127">+X94-CK94</f>
        <v>0</v>
      </c>
      <c r="DG94" s="24">
        <f t="shared" si="127"/>
        <v>0</v>
      </c>
      <c r="DH94" s="24">
        <f t="shared" si="127"/>
        <v>0</v>
      </c>
      <c r="DJ94" s="194"/>
      <c r="DK94" s="194"/>
      <c r="DL94" s="198"/>
      <c r="DM94" s="199"/>
      <c r="DN94" s="200"/>
    </row>
    <row r="95" spans="1:118" s="43" customFormat="1" ht="25.5" hidden="1" customHeight="1" x14ac:dyDescent="0.25">
      <c r="A95" s="256"/>
      <c r="B95" s="240"/>
      <c r="C95" s="69" t="s">
        <v>268</v>
      </c>
      <c r="D95" s="21" t="s">
        <v>269</v>
      </c>
      <c r="E95" s="22">
        <v>301</v>
      </c>
      <c r="F95" s="23" t="s">
        <v>267</v>
      </c>
      <c r="G95" s="24">
        <f t="shared" si="110"/>
        <v>60901618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55000000+2924443+2977175</f>
        <v>60901618</v>
      </c>
      <c r="W95" s="24"/>
      <c r="X95" s="24"/>
      <c r="Y95" s="24"/>
      <c r="Z95" s="24"/>
      <c r="AA95" s="25">
        <f t="shared" si="111"/>
        <v>0.98409452766919925</v>
      </c>
      <c r="AB95" s="24">
        <f t="shared" si="112"/>
        <v>59932949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+'[4]DICIEMBRE 2016'!$Z$1098</f>
        <v>59932949</v>
      </c>
      <c r="AS95" s="24"/>
      <c r="AT95" s="24"/>
      <c r="AU95" s="24"/>
      <c r="AV95" s="24"/>
      <c r="AW95" s="25">
        <f t="shared" si="113"/>
        <v>1.5905472330800752E-2</v>
      </c>
      <c r="AX95" s="24">
        <f t="shared" si="114"/>
        <v>968669</v>
      </c>
      <c r="AY95" s="24">
        <f t="shared" si="115"/>
        <v>0</v>
      </c>
      <c r="AZ95" s="24">
        <f t="shared" si="115"/>
        <v>0</v>
      </c>
      <c r="BA95" s="24">
        <f t="shared" si="115"/>
        <v>0</v>
      </c>
      <c r="BB95" s="24">
        <f t="shared" si="116"/>
        <v>0</v>
      </c>
      <c r="BC95" s="24">
        <f t="shared" si="116"/>
        <v>0</v>
      </c>
      <c r="BD95" s="24">
        <f t="shared" si="116"/>
        <v>0</v>
      </c>
      <c r="BE95" s="24">
        <f t="shared" si="116"/>
        <v>0</v>
      </c>
      <c r="BF95" s="24">
        <f t="shared" si="116"/>
        <v>0</v>
      </c>
      <c r="BG95" s="24">
        <f t="shared" si="116"/>
        <v>0</v>
      </c>
      <c r="BH95" s="24">
        <f t="shared" si="116"/>
        <v>0</v>
      </c>
      <c r="BI95" s="24">
        <f t="shared" si="116"/>
        <v>0</v>
      </c>
      <c r="BJ95" s="24">
        <f t="shared" si="116"/>
        <v>0</v>
      </c>
      <c r="BK95" s="24">
        <f t="shared" si="116"/>
        <v>0</v>
      </c>
      <c r="BL95" s="24">
        <f t="shared" si="116"/>
        <v>0</v>
      </c>
      <c r="BM95" s="24">
        <f t="shared" si="116"/>
        <v>968669</v>
      </c>
      <c r="BN95" s="24"/>
      <c r="BO95" s="24"/>
      <c r="BP95" s="24">
        <f t="shared" si="117"/>
        <v>0</v>
      </c>
      <c r="BQ95" s="24">
        <f t="shared" si="118"/>
        <v>0</v>
      </c>
      <c r="BR95" s="25">
        <f t="shared" si="119"/>
        <v>0.98409452766919925</v>
      </c>
      <c r="BS95" s="24">
        <f t="shared" si="120"/>
        <v>59932949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+'[4]DICIEMBRE 2016'!$Z$1098</f>
        <v>59932949</v>
      </c>
      <c r="CJ95" s="24"/>
      <c r="CK95" s="24"/>
      <c r="CL95" s="24"/>
      <c r="CM95" s="24"/>
      <c r="CN95" s="25">
        <f t="shared" si="121"/>
        <v>1.5905472330800752E-2</v>
      </c>
      <c r="CO95" s="24">
        <f t="shared" si="122"/>
        <v>968669</v>
      </c>
      <c r="CP95" s="24">
        <f t="shared" si="123"/>
        <v>0</v>
      </c>
      <c r="CQ95" s="24">
        <f t="shared" si="123"/>
        <v>0</v>
      </c>
      <c r="CR95" s="24">
        <f t="shared" si="123"/>
        <v>0</v>
      </c>
      <c r="CS95" s="24">
        <f t="shared" si="123"/>
        <v>0</v>
      </c>
      <c r="CT95" s="24">
        <f t="shared" si="123"/>
        <v>0</v>
      </c>
      <c r="CU95" s="24">
        <f t="shared" si="123"/>
        <v>0</v>
      </c>
      <c r="CV95" s="24">
        <f t="shared" si="124"/>
        <v>0</v>
      </c>
      <c r="CW95" s="24">
        <f t="shared" si="124"/>
        <v>0</v>
      </c>
      <c r="CX95" s="24">
        <f t="shared" si="124"/>
        <v>0</v>
      </c>
      <c r="CY95" s="24">
        <f t="shared" si="125"/>
        <v>0</v>
      </c>
      <c r="CZ95" s="24">
        <f t="shared" si="125"/>
        <v>0</v>
      </c>
      <c r="DA95" s="24">
        <f t="shared" si="125"/>
        <v>0</v>
      </c>
      <c r="DB95" s="24">
        <f t="shared" si="126"/>
        <v>0</v>
      </c>
      <c r="DC95" s="24">
        <f t="shared" si="126"/>
        <v>0</v>
      </c>
      <c r="DD95" s="24">
        <f t="shared" si="126"/>
        <v>968669</v>
      </c>
      <c r="DE95" s="24"/>
      <c r="DF95" s="24">
        <f t="shared" si="127"/>
        <v>0</v>
      </c>
      <c r="DG95" s="24">
        <f t="shared" si="127"/>
        <v>0</v>
      </c>
      <c r="DH95" s="24">
        <f t="shared" si="127"/>
        <v>0</v>
      </c>
      <c r="DJ95" s="194"/>
      <c r="DK95" s="194"/>
      <c r="DL95" s="198"/>
      <c r="DM95" s="199"/>
      <c r="DN95" s="200"/>
    </row>
    <row r="96" spans="1:118" s="43" customFormat="1" ht="21.75" hidden="1" customHeight="1" x14ac:dyDescent="0.25">
      <c r="A96" s="256"/>
      <c r="B96" s="240"/>
      <c r="C96" s="69" t="s">
        <v>270</v>
      </c>
      <c r="D96" s="21" t="s">
        <v>271</v>
      </c>
      <c r="E96" s="22">
        <v>301</v>
      </c>
      <c r="F96" s="23" t="s">
        <v>267</v>
      </c>
      <c r="G96" s="24">
        <f t="shared" si="110"/>
        <v>38600000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30000000+8600000</f>
        <v>38600000</v>
      </c>
      <c r="W96" s="24"/>
      <c r="X96" s="24"/>
      <c r="Y96" s="24"/>
      <c r="Z96" s="24"/>
      <c r="AA96" s="25">
        <f t="shared" si="111"/>
        <v>0.90678784974093263</v>
      </c>
      <c r="AB96" s="24">
        <f t="shared" si="112"/>
        <v>35002011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+'[4]DICIEMBRE 2016'!$Z$1123</f>
        <v>35002011</v>
      </c>
      <c r="AS96" s="24"/>
      <c r="AT96" s="24"/>
      <c r="AU96" s="24"/>
      <c r="AV96" s="24"/>
      <c r="AW96" s="25">
        <f t="shared" si="113"/>
        <v>9.3212150259067372E-2</v>
      </c>
      <c r="AX96" s="24">
        <f t="shared" si="114"/>
        <v>3597989</v>
      </c>
      <c r="AY96" s="24">
        <f t="shared" si="115"/>
        <v>0</v>
      </c>
      <c r="AZ96" s="24">
        <f t="shared" si="115"/>
        <v>0</v>
      </c>
      <c r="BA96" s="24">
        <f t="shared" si="115"/>
        <v>0</v>
      </c>
      <c r="BB96" s="24">
        <f t="shared" si="116"/>
        <v>0</v>
      </c>
      <c r="BC96" s="24">
        <f t="shared" si="116"/>
        <v>0</v>
      </c>
      <c r="BD96" s="24">
        <f t="shared" si="116"/>
        <v>0</v>
      </c>
      <c r="BE96" s="24">
        <f t="shared" si="116"/>
        <v>0</v>
      </c>
      <c r="BF96" s="24">
        <f t="shared" si="116"/>
        <v>0</v>
      </c>
      <c r="BG96" s="24">
        <f t="shared" si="116"/>
        <v>0</v>
      </c>
      <c r="BH96" s="24">
        <f t="shared" si="116"/>
        <v>0</v>
      </c>
      <c r="BI96" s="24">
        <f t="shared" si="116"/>
        <v>0</v>
      </c>
      <c r="BJ96" s="24">
        <f t="shared" si="116"/>
        <v>0</v>
      </c>
      <c r="BK96" s="24">
        <f t="shared" si="116"/>
        <v>0</v>
      </c>
      <c r="BL96" s="24">
        <f t="shared" si="116"/>
        <v>0</v>
      </c>
      <c r="BM96" s="24">
        <f t="shared" si="116"/>
        <v>3597989</v>
      </c>
      <c r="BN96" s="24"/>
      <c r="BO96" s="24"/>
      <c r="BP96" s="24">
        <f t="shared" si="117"/>
        <v>0</v>
      </c>
      <c r="BQ96" s="24">
        <f t="shared" si="118"/>
        <v>0</v>
      </c>
      <c r="BR96" s="25">
        <f t="shared" si="119"/>
        <v>0.90678784974093263</v>
      </c>
      <c r="BS96" s="24">
        <f t="shared" si="120"/>
        <v>35002011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+'[4]DICIEMBRE 2016'!$Z$1123</f>
        <v>35002011</v>
      </c>
      <c r="CJ96" s="24"/>
      <c r="CK96" s="24"/>
      <c r="CL96" s="24"/>
      <c r="CM96" s="24"/>
      <c r="CN96" s="25">
        <f t="shared" si="121"/>
        <v>9.3212150259067372E-2</v>
      </c>
      <c r="CO96" s="24">
        <f t="shared" si="122"/>
        <v>3597989</v>
      </c>
      <c r="CP96" s="24">
        <f t="shared" si="123"/>
        <v>0</v>
      </c>
      <c r="CQ96" s="24">
        <f t="shared" si="123"/>
        <v>0</v>
      </c>
      <c r="CR96" s="24">
        <f t="shared" si="123"/>
        <v>0</v>
      </c>
      <c r="CS96" s="24">
        <f t="shared" si="123"/>
        <v>0</v>
      </c>
      <c r="CT96" s="24">
        <f t="shared" si="123"/>
        <v>0</v>
      </c>
      <c r="CU96" s="24">
        <f t="shared" si="123"/>
        <v>0</v>
      </c>
      <c r="CV96" s="24">
        <f t="shared" si="124"/>
        <v>0</v>
      </c>
      <c r="CW96" s="24">
        <f t="shared" si="124"/>
        <v>0</v>
      </c>
      <c r="CX96" s="24">
        <f t="shared" si="124"/>
        <v>0</v>
      </c>
      <c r="CY96" s="24">
        <f t="shared" si="125"/>
        <v>0</v>
      </c>
      <c r="CZ96" s="24">
        <f t="shared" si="125"/>
        <v>0</v>
      </c>
      <c r="DA96" s="24">
        <f t="shared" si="125"/>
        <v>0</v>
      </c>
      <c r="DB96" s="24">
        <f t="shared" si="126"/>
        <v>0</v>
      </c>
      <c r="DC96" s="24">
        <f t="shared" si="126"/>
        <v>0</v>
      </c>
      <c r="DD96" s="24">
        <f t="shared" si="126"/>
        <v>3597989</v>
      </c>
      <c r="DE96" s="24"/>
      <c r="DF96" s="24">
        <f t="shared" si="127"/>
        <v>0</v>
      </c>
      <c r="DG96" s="24">
        <f t="shared" si="127"/>
        <v>0</v>
      </c>
      <c r="DH96" s="24">
        <f t="shared" si="127"/>
        <v>0</v>
      </c>
      <c r="DJ96" s="194"/>
      <c r="DK96" s="194"/>
      <c r="DL96" s="198"/>
      <c r="DM96" s="199"/>
      <c r="DN96" s="200"/>
    </row>
    <row r="97" spans="1:118" ht="31.5" hidden="1" customHeight="1" x14ac:dyDescent="0.25">
      <c r="A97" s="256"/>
      <c r="B97" s="240"/>
      <c r="C97" s="69" t="s">
        <v>272</v>
      </c>
      <c r="D97" s="21" t="s">
        <v>273</v>
      </c>
      <c r="E97" s="22">
        <v>301</v>
      </c>
      <c r="F97" s="23" t="s">
        <v>274</v>
      </c>
      <c r="G97" s="24">
        <f t="shared" si="110"/>
        <v>73000000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25000000-23000000</f>
        <v>2000000</v>
      </c>
      <c r="W97" s="24"/>
      <c r="X97" s="24"/>
      <c r="Y97" s="24"/>
      <c r="Z97" s="24">
        <f>25000000+1000000+5000000+20000000+20000000</f>
        <v>71000000</v>
      </c>
      <c r="AA97" s="25">
        <f t="shared" si="111"/>
        <v>0.938277904109589</v>
      </c>
      <c r="AB97" s="24">
        <f>SUM(AC97:AV97)</f>
        <v>68494287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+'[9]AGOSTO 2016'!$Z$680</f>
        <v>2000000</v>
      </c>
      <c r="AS97" s="24"/>
      <c r="AT97" s="24"/>
      <c r="AU97" s="24"/>
      <c r="AV97" s="24">
        <f>+'[4]DICIEMBRE 2016'!$AG$1142</f>
        <v>66494287</v>
      </c>
      <c r="AW97" s="25">
        <f t="shared" si="113"/>
        <v>6.1722095890411E-2</v>
      </c>
      <c r="AX97" s="24">
        <f t="shared" si="114"/>
        <v>4505713</v>
      </c>
      <c r="AY97" s="24">
        <f t="shared" si="115"/>
        <v>0</v>
      </c>
      <c r="AZ97" s="24">
        <f t="shared" si="115"/>
        <v>0</v>
      </c>
      <c r="BA97" s="24">
        <f t="shared" si="115"/>
        <v>0</v>
      </c>
      <c r="BB97" s="24">
        <f t="shared" si="116"/>
        <v>0</v>
      </c>
      <c r="BC97" s="24">
        <f t="shared" si="116"/>
        <v>0</v>
      </c>
      <c r="BD97" s="24">
        <f t="shared" si="116"/>
        <v>0</v>
      </c>
      <c r="BE97" s="24">
        <f t="shared" si="116"/>
        <v>0</v>
      </c>
      <c r="BF97" s="24">
        <f t="shared" si="116"/>
        <v>0</v>
      </c>
      <c r="BG97" s="24">
        <f t="shared" si="116"/>
        <v>0</v>
      </c>
      <c r="BH97" s="24">
        <f t="shared" si="116"/>
        <v>0</v>
      </c>
      <c r="BI97" s="24">
        <f t="shared" si="116"/>
        <v>0</v>
      </c>
      <c r="BJ97" s="24">
        <f t="shared" si="116"/>
        <v>0</v>
      </c>
      <c r="BK97" s="24">
        <f t="shared" si="116"/>
        <v>0</v>
      </c>
      <c r="BL97" s="24">
        <f t="shared" si="116"/>
        <v>0</v>
      </c>
      <c r="BM97" s="24">
        <f t="shared" si="116"/>
        <v>0</v>
      </c>
      <c r="BN97" s="24"/>
      <c r="BO97" s="24"/>
      <c r="BP97" s="24">
        <f t="shared" si="117"/>
        <v>0</v>
      </c>
      <c r="BQ97" s="24">
        <f t="shared" si="118"/>
        <v>4505713</v>
      </c>
      <c r="BR97" s="25">
        <f t="shared" si="119"/>
        <v>0.938277904109589</v>
      </c>
      <c r="BS97" s="24">
        <f t="shared" si="120"/>
        <v>68494287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v>2000000</v>
      </c>
      <c r="CJ97" s="24"/>
      <c r="CK97" s="24"/>
      <c r="CL97" s="24"/>
      <c r="CM97" s="24">
        <f>+'[4]DICIEMBRE 2016'!$AG$1142</f>
        <v>66494287</v>
      </c>
      <c r="CN97" s="25">
        <f t="shared" si="121"/>
        <v>6.1722095890411E-2</v>
      </c>
      <c r="CO97" s="24">
        <f t="shared" si="122"/>
        <v>4505713</v>
      </c>
      <c r="CP97" s="24">
        <f t="shared" si="123"/>
        <v>0</v>
      </c>
      <c r="CQ97" s="24">
        <f t="shared" si="123"/>
        <v>0</v>
      </c>
      <c r="CR97" s="24">
        <f t="shared" si="123"/>
        <v>0</v>
      </c>
      <c r="CS97" s="24">
        <f t="shared" si="123"/>
        <v>0</v>
      </c>
      <c r="CT97" s="24">
        <f t="shared" si="123"/>
        <v>0</v>
      </c>
      <c r="CU97" s="24">
        <f t="shared" si="123"/>
        <v>0</v>
      </c>
      <c r="CV97" s="24">
        <f t="shared" si="124"/>
        <v>0</v>
      </c>
      <c r="CW97" s="24">
        <f t="shared" si="124"/>
        <v>0</v>
      </c>
      <c r="CX97" s="24">
        <f t="shared" si="124"/>
        <v>0</v>
      </c>
      <c r="CY97" s="24">
        <f t="shared" si="125"/>
        <v>0</v>
      </c>
      <c r="CZ97" s="24">
        <f t="shared" si="125"/>
        <v>0</v>
      </c>
      <c r="DA97" s="24">
        <f t="shared" si="125"/>
        <v>0</v>
      </c>
      <c r="DB97" s="24">
        <f t="shared" si="126"/>
        <v>0</v>
      </c>
      <c r="DC97" s="24">
        <f t="shared" si="126"/>
        <v>0</v>
      </c>
      <c r="DD97" s="24">
        <f t="shared" si="126"/>
        <v>0</v>
      </c>
      <c r="DE97" s="24"/>
      <c r="DF97" s="24">
        <f t="shared" si="127"/>
        <v>0</v>
      </c>
      <c r="DG97" s="24">
        <f t="shared" si="127"/>
        <v>0</v>
      </c>
      <c r="DH97" s="24">
        <f t="shared" si="127"/>
        <v>4505713</v>
      </c>
      <c r="DJ97" s="194"/>
      <c r="DK97" s="194"/>
      <c r="DL97" s="198"/>
      <c r="DM97" s="199"/>
      <c r="DN97" s="200"/>
    </row>
    <row r="98" spans="1:118" ht="24.75" hidden="1" customHeight="1" x14ac:dyDescent="0.25">
      <c r="A98" s="256"/>
      <c r="B98" s="240"/>
      <c r="C98" s="69" t="s">
        <v>275</v>
      </c>
      <c r="D98" s="21" t="s">
        <v>276</v>
      </c>
      <c r="E98" s="22">
        <v>301</v>
      </c>
      <c r="F98" s="23" t="s">
        <v>267</v>
      </c>
      <c r="G98" s="24">
        <f t="shared" si="110"/>
        <v>34000000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v>34000000</v>
      </c>
      <c r="W98" s="24"/>
      <c r="X98" s="24"/>
      <c r="Y98" s="24"/>
      <c r="Z98" s="24"/>
      <c r="AA98" s="25">
        <f t="shared" si="111"/>
        <v>0.99650888235294122</v>
      </c>
      <c r="AB98" s="24">
        <f t="shared" si="112"/>
        <v>33881302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+'[5]NOVIEMBRE 2016'!$Z$1111</f>
        <v>33881302</v>
      </c>
      <c r="AS98" s="24"/>
      <c r="AT98" s="24"/>
      <c r="AU98" s="24"/>
      <c r="AV98" s="24"/>
      <c r="AW98" s="25">
        <f t="shared" si="113"/>
        <v>3.4911176470587835E-3</v>
      </c>
      <c r="AX98" s="24">
        <f t="shared" si="114"/>
        <v>118698</v>
      </c>
      <c r="AY98" s="24">
        <f t="shared" si="115"/>
        <v>0</v>
      </c>
      <c r="AZ98" s="24">
        <f t="shared" si="115"/>
        <v>0</v>
      </c>
      <c r="BA98" s="24">
        <f t="shared" si="115"/>
        <v>0</v>
      </c>
      <c r="BB98" s="24">
        <f t="shared" si="116"/>
        <v>0</v>
      </c>
      <c r="BC98" s="24">
        <f t="shared" si="116"/>
        <v>0</v>
      </c>
      <c r="BD98" s="24">
        <f t="shared" si="116"/>
        <v>0</v>
      </c>
      <c r="BE98" s="24">
        <f t="shared" si="116"/>
        <v>0</v>
      </c>
      <c r="BF98" s="24">
        <f t="shared" si="116"/>
        <v>0</v>
      </c>
      <c r="BG98" s="24">
        <f t="shared" si="116"/>
        <v>0</v>
      </c>
      <c r="BH98" s="24">
        <f t="shared" si="116"/>
        <v>0</v>
      </c>
      <c r="BI98" s="24">
        <f t="shared" si="116"/>
        <v>0</v>
      </c>
      <c r="BJ98" s="24">
        <f t="shared" si="116"/>
        <v>0</v>
      </c>
      <c r="BK98" s="24">
        <f t="shared" si="116"/>
        <v>0</v>
      </c>
      <c r="BL98" s="24">
        <f t="shared" si="116"/>
        <v>0</v>
      </c>
      <c r="BM98" s="24">
        <f t="shared" si="116"/>
        <v>118698</v>
      </c>
      <c r="BN98" s="24"/>
      <c r="BO98" s="24"/>
      <c r="BP98" s="24">
        <f t="shared" si="117"/>
        <v>0</v>
      </c>
      <c r="BQ98" s="24">
        <f t="shared" si="118"/>
        <v>0</v>
      </c>
      <c r="BR98" s="25">
        <f t="shared" si="119"/>
        <v>0.99650888235294122</v>
      </c>
      <c r="BS98" s="24">
        <f t="shared" si="120"/>
        <v>33881302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f>+'[5]NOVIEMBRE 2016'!$H$1109</f>
        <v>33881302</v>
      </c>
      <c r="CJ98" s="24"/>
      <c r="CK98" s="24"/>
      <c r="CL98" s="24"/>
      <c r="CM98" s="24"/>
      <c r="CN98" s="25">
        <f t="shared" si="121"/>
        <v>3.4911176470587835E-3</v>
      </c>
      <c r="CO98" s="24">
        <f t="shared" si="122"/>
        <v>118698</v>
      </c>
      <c r="CP98" s="24">
        <f t="shared" si="123"/>
        <v>0</v>
      </c>
      <c r="CQ98" s="24">
        <f t="shared" si="123"/>
        <v>0</v>
      </c>
      <c r="CR98" s="24">
        <f t="shared" si="123"/>
        <v>0</v>
      </c>
      <c r="CS98" s="24">
        <f t="shared" si="123"/>
        <v>0</v>
      </c>
      <c r="CT98" s="24">
        <f t="shared" si="123"/>
        <v>0</v>
      </c>
      <c r="CU98" s="24">
        <f t="shared" si="123"/>
        <v>0</v>
      </c>
      <c r="CV98" s="24">
        <f t="shared" si="124"/>
        <v>0</v>
      </c>
      <c r="CW98" s="24">
        <f t="shared" si="124"/>
        <v>0</v>
      </c>
      <c r="CX98" s="24">
        <f t="shared" si="124"/>
        <v>0</v>
      </c>
      <c r="CY98" s="24">
        <f t="shared" si="125"/>
        <v>0</v>
      </c>
      <c r="CZ98" s="24">
        <f t="shared" si="125"/>
        <v>0</v>
      </c>
      <c r="DA98" s="24">
        <f t="shared" si="125"/>
        <v>0</v>
      </c>
      <c r="DB98" s="24">
        <f t="shared" si="126"/>
        <v>0</v>
      </c>
      <c r="DC98" s="24">
        <f t="shared" si="126"/>
        <v>0</v>
      </c>
      <c r="DD98" s="24">
        <f t="shared" si="126"/>
        <v>118698</v>
      </c>
      <c r="DE98" s="24"/>
      <c r="DF98" s="24">
        <f t="shared" si="127"/>
        <v>0</v>
      </c>
      <c r="DG98" s="24">
        <f t="shared" si="127"/>
        <v>0</v>
      </c>
      <c r="DH98" s="24">
        <f t="shared" si="127"/>
        <v>0</v>
      </c>
      <c r="DJ98" s="194"/>
      <c r="DK98" s="194"/>
      <c r="DL98" s="198"/>
      <c r="DM98" s="199"/>
      <c r="DN98" s="200"/>
    </row>
    <row r="99" spans="1:118" ht="20.25" hidden="1" customHeight="1" x14ac:dyDescent="0.25">
      <c r="A99" s="256"/>
      <c r="B99" s="240"/>
      <c r="C99" s="69" t="s">
        <v>277</v>
      </c>
      <c r="D99" s="21" t="s">
        <v>278</v>
      </c>
      <c r="E99" s="22">
        <v>301</v>
      </c>
      <c r="F99" s="23" t="s">
        <v>190</v>
      </c>
      <c r="G99" s="24">
        <f t="shared" si="110"/>
        <v>113185104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>
        <f>53185104</f>
        <v>53185104</v>
      </c>
      <c r="V99" s="24">
        <v>60000000</v>
      </c>
      <c r="W99" s="24"/>
      <c r="X99" s="24"/>
      <c r="Y99" s="24"/>
      <c r="Z99" s="24"/>
      <c r="AA99" s="25">
        <f t="shared" si="111"/>
        <v>0.90455957879404347</v>
      </c>
      <c r="AB99" s="24">
        <f t="shared" si="112"/>
        <v>102382670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>
        <f>+'[2]DICIEMBRE 2016'!$Y$1194</f>
        <v>48042599</v>
      </c>
      <c r="AR99" s="24">
        <f>+'[4]DICIEMBRE 2016'!$Z$1199</f>
        <v>54340071</v>
      </c>
      <c r="AS99" s="24"/>
      <c r="AT99" s="24"/>
      <c r="AU99" s="24"/>
      <c r="AV99" s="24"/>
      <c r="AW99" s="25">
        <f t="shared" si="113"/>
        <v>9.5440421205956527E-2</v>
      </c>
      <c r="AX99" s="24">
        <f t="shared" si="114"/>
        <v>10802434</v>
      </c>
      <c r="AY99" s="24">
        <f t="shared" si="115"/>
        <v>0</v>
      </c>
      <c r="AZ99" s="24">
        <f t="shared" si="115"/>
        <v>0</v>
      </c>
      <c r="BA99" s="24">
        <f t="shared" si="115"/>
        <v>0</v>
      </c>
      <c r="BB99" s="24">
        <f t="shared" si="116"/>
        <v>0</v>
      </c>
      <c r="BC99" s="24">
        <f t="shared" si="116"/>
        <v>0</v>
      </c>
      <c r="BD99" s="24">
        <f t="shared" si="116"/>
        <v>0</v>
      </c>
      <c r="BE99" s="24">
        <f t="shared" si="116"/>
        <v>0</v>
      </c>
      <c r="BF99" s="24">
        <f t="shared" si="116"/>
        <v>0</v>
      </c>
      <c r="BG99" s="24">
        <f t="shared" si="116"/>
        <v>0</v>
      </c>
      <c r="BH99" s="24">
        <f t="shared" si="116"/>
        <v>0</v>
      </c>
      <c r="BI99" s="24">
        <f t="shared" si="116"/>
        <v>0</v>
      </c>
      <c r="BJ99" s="24">
        <f t="shared" si="116"/>
        <v>0</v>
      </c>
      <c r="BK99" s="24">
        <f t="shared" si="116"/>
        <v>0</v>
      </c>
      <c r="BL99" s="24">
        <f t="shared" si="116"/>
        <v>5142505</v>
      </c>
      <c r="BM99" s="24">
        <f t="shared" si="116"/>
        <v>5659929</v>
      </c>
      <c r="BN99" s="24"/>
      <c r="BO99" s="24"/>
      <c r="BP99" s="24">
        <f t="shared" si="117"/>
        <v>0</v>
      </c>
      <c r="BQ99" s="24">
        <f t="shared" si="118"/>
        <v>0</v>
      </c>
      <c r="BR99" s="25">
        <f t="shared" si="119"/>
        <v>0.90455957879404347</v>
      </c>
      <c r="BS99" s="24">
        <f t="shared" si="120"/>
        <v>102382670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>
        <f>+'[5]NOVIEMBRE 2016'!$H$1149</f>
        <v>48042599</v>
      </c>
      <c r="CI99" s="24">
        <f>+'[4]DICIEMBRE 2016'!$Z$1199</f>
        <v>54340071</v>
      </c>
      <c r="CJ99" s="24"/>
      <c r="CK99" s="24"/>
      <c r="CL99" s="24"/>
      <c r="CM99" s="24"/>
      <c r="CN99" s="25">
        <f t="shared" si="121"/>
        <v>9.5440421205956527E-2</v>
      </c>
      <c r="CO99" s="24">
        <f t="shared" si="122"/>
        <v>10802434</v>
      </c>
      <c r="CP99" s="24">
        <f t="shared" si="123"/>
        <v>0</v>
      </c>
      <c r="CQ99" s="24">
        <f t="shared" si="123"/>
        <v>0</v>
      </c>
      <c r="CR99" s="24">
        <f t="shared" si="123"/>
        <v>0</v>
      </c>
      <c r="CS99" s="24">
        <f t="shared" si="123"/>
        <v>0</v>
      </c>
      <c r="CT99" s="24">
        <f t="shared" si="123"/>
        <v>0</v>
      </c>
      <c r="CU99" s="24">
        <f t="shared" si="123"/>
        <v>0</v>
      </c>
      <c r="CV99" s="24">
        <f t="shared" si="124"/>
        <v>0</v>
      </c>
      <c r="CW99" s="24">
        <f t="shared" si="124"/>
        <v>0</v>
      </c>
      <c r="CX99" s="24">
        <f t="shared" si="124"/>
        <v>0</v>
      </c>
      <c r="CY99" s="24">
        <f t="shared" si="125"/>
        <v>0</v>
      </c>
      <c r="CZ99" s="24">
        <f t="shared" si="125"/>
        <v>0</v>
      </c>
      <c r="DA99" s="24">
        <f t="shared" si="125"/>
        <v>0</v>
      </c>
      <c r="DB99" s="24">
        <f t="shared" si="126"/>
        <v>0</v>
      </c>
      <c r="DC99" s="24">
        <f t="shared" si="126"/>
        <v>5142505</v>
      </c>
      <c r="DD99" s="24">
        <f t="shared" si="126"/>
        <v>5659929</v>
      </c>
      <c r="DE99" s="24"/>
      <c r="DF99" s="24">
        <f t="shared" si="127"/>
        <v>0</v>
      </c>
      <c r="DG99" s="24">
        <f t="shared" si="127"/>
        <v>0</v>
      </c>
      <c r="DH99" s="24">
        <f t="shared" si="127"/>
        <v>0</v>
      </c>
      <c r="DJ99" s="194"/>
      <c r="DK99" s="194"/>
      <c r="DL99" s="198"/>
      <c r="DM99" s="199"/>
      <c r="DN99" s="200"/>
    </row>
    <row r="100" spans="1:118" ht="21" hidden="1" customHeight="1" x14ac:dyDescent="0.25">
      <c r="A100" s="256"/>
      <c r="B100" s="240"/>
      <c r="C100" s="69" t="s">
        <v>279</v>
      </c>
      <c r="D100" s="21" t="s">
        <v>280</v>
      </c>
      <c r="E100" s="22">
        <v>301</v>
      </c>
      <c r="F100" s="23" t="s">
        <v>281</v>
      </c>
      <c r="G100" s="24">
        <f t="shared" si="110"/>
        <v>0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>
        <f>20000000-20000000</f>
        <v>0</v>
      </c>
      <c r="W100" s="24"/>
      <c r="X100" s="24"/>
      <c r="Y100" s="24"/>
      <c r="Z100" s="24"/>
      <c r="AA100" s="25" t="e">
        <f t="shared" si="111"/>
        <v>#DIV/0!</v>
      </c>
      <c r="AB100" s="24">
        <f t="shared" si="112"/>
        <v>0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5" t="e">
        <f t="shared" si="113"/>
        <v>#DIV/0!</v>
      </c>
      <c r="AX100" s="24">
        <f t="shared" si="114"/>
        <v>0</v>
      </c>
      <c r="AY100" s="24">
        <f t="shared" si="115"/>
        <v>0</v>
      </c>
      <c r="AZ100" s="24">
        <f t="shared" si="115"/>
        <v>0</v>
      </c>
      <c r="BA100" s="24">
        <f t="shared" si="115"/>
        <v>0</v>
      </c>
      <c r="BB100" s="24">
        <f t="shared" si="116"/>
        <v>0</v>
      </c>
      <c r="BC100" s="24">
        <f t="shared" si="116"/>
        <v>0</v>
      </c>
      <c r="BD100" s="24">
        <f t="shared" si="116"/>
        <v>0</v>
      </c>
      <c r="BE100" s="24">
        <f t="shared" si="116"/>
        <v>0</v>
      </c>
      <c r="BF100" s="24">
        <f t="shared" si="116"/>
        <v>0</v>
      </c>
      <c r="BG100" s="24">
        <f t="shared" si="116"/>
        <v>0</v>
      </c>
      <c r="BH100" s="24">
        <f t="shared" si="116"/>
        <v>0</v>
      </c>
      <c r="BI100" s="24">
        <f t="shared" si="116"/>
        <v>0</v>
      </c>
      <c r="BJ100" s="24">
        <f t="shared" si="116"/>
        <v>0</v>
      </c>
      <c r="BK100" s="24">
        <f t="shared" si="116"/>
        <v>0</v>
      </c>
      <c r="BL100" s="24">
        <f t="shared" si="116"/>
        <v>0</v>
      </c>
      <c r="BM100" s="24">
        <f t="shared" si="116"/>
        <v>0</v>
      </c>
      <c r="BN100" s="24"/>
      <c r="BO100" s="24"/>
      <c r="BP100" s="24">
        <f t="shared" si="117"/>
        <v>0</v>
      </c>
      <c r="BQ100" s="24">
        <f t="shared" si="118"/>
        <v>0</v>
      </c>
      <c r="BR100" s="25" t="e">
        <f t="shared" si="119"/>
        <v>#DIV/0!</v>
      </c>
      <c r="BS100" s="24">
        <f t="shared" si="120"/>
        <v>0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5" t="e">
        <f t="shared" si="121"/>
        <v>#DIV/0!</v>
      </c>
      <c r="CO100" s="24">
        <f t="shared" si="122"/>
        <v>0</v>
      </c>
      <c r="CP100" s="24">
        <f t="shared" si="123"/>
        <v>0</v>
      </c>
      <c r="CQ100" s="24">
        <f t="shared" si="123"/>
        <v>0</v>
      </c>
      <c r="CR100" s="24">
        <f t="shared" si="123"/>
        <v>0</v>
      </c>
      <c r="CS100" s="24">
        <f t="shared" si="123"/>
        <v>0</v>
      </c>
      <c r="CT100" s="24">
        <f t="shared" si="123"/>
        <v>0</v>
      </c>
      <c r="CU100" s="24">
        <f t="shared" si="123"/>
        <v>0</v>
      </c>
      <c r="CV100" s="24">
        <f t="shared" si="123"/>
        <v>0</v>
      </c>
      <c r="CW100" s="24">
        <f t="shared" si="123"/>
        <v>0</v>
      </c>
      <c r="CX100" s="24">
        <f t="shared" si="123"/>
        <v>0</v>
      </c>
      <c r="CY100" s="24">
        <f t="shared" si="125"/>
        <v>0</v>
      </c>
      <c r="CZ100" s="24">
        <f t="shared" si="125"/>
        <v>0</v>
      </c>
      <c r="DA100" s="24">
        <f t="shared" si="125"/>
        <v>0</v>
      </c>
      <c r="DB100" s="24">
        <f t="shared" si="126"/>
        <v>0</v>
      </c>
      <c r="DC100" s="24">
        <f t="shared" si="126"/>
        <v>0</v>
      </c>
      <c r="DD100" s="24">
        <f t="shared" si="126"/>
        <v>0</v>
      </c>
      <c r="DE100" s="24"/>
      <c r="DF100" s="24">
        <f t="shared" si="127"/>
        <v>0</v>
      </c>
      <c r="DG100" s="24">
        <f t="shared" si="127"/>
        <v>0</v>
      </c>
      <c r="DH100" s="24">
        <f t="shared" si="127"/>
        <v>0</v>
      </c>
      <c r="DJ100" s="194"/>
      <c r="DK100" s="194"/>
      <c r="DL100" s="198"/>
      <c r="DM100" s="199"/>
      <c r="DN100" s="200"/>
    </row>
    <row r="101" spans="1:118" ht="30" hidden="1" x14ac:dyDescent="0.25">
      <c r="A101" s="256"/>
      <c r="B101" s="241"/>
      <c r="C101" s="69" t="s">
        <v>282</v>
      </c>
      <c r="D101" s="21" t="s">
        <v>283</v>
      </c>
      <c r="E101" s="22">
        <v>301</v>
      </c>
      <c r="F101" s="23" t="s">
        <v>267</v>
      </c>
      <c r="G101" s="24">
        <f t="shared" si="110"/>
        <v>26000000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v>26000000</v>
      </c>
      <c r="W101" s="24"/>
      <c r="X101" s="24"/>
      <c r="Y101" s="24"/>
      <c r="Z101" s="24"/>
      <c r="AA101" s="25">
        <f t="shared" si="111"/>
        <v>0.87590276923076926</v>
      </c>
      <c r="AB101" s="24">
        <f t="shared" si="112"/>
        <v>22773472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>
        <f>+'[2]DICIEMBRE 2016'!$Z$1247</f>
        <v>22773472</v>
      </c>
      <c r="AS101" s="24"/>
      <c r="AT101" s="24"/>
      <c r="AU101" s="24"/>
      <c r="AV101" s="24"/>
      <c r="AW101" s="25">
        <f t="shared" si="113"/>
        <v>0.12409723076923074</v>
      </c>
      <c r="AX101" s="24">
        <f t="shared" si="114"/>
        <v>3226528</v>
      </c>
      <c r="AY101" s="24">
        <f t="shared" si="115"/>
        <v>0</v>
      </c>
      <c r="AZ101" s="24">
        <f t="shared" si="115"/>
        <v>0</v>
      </c>
      <c r="BA101" s="24">
        <f t="shared" si="115"/>
        <v>0</v>
      </c>
      <c r="BB101" s="24">
        <f t="shared" si="115"/>
        <v>0</v>
      </c>
      <c r="BC101" s="24">
        <f t="shared" si="115"/>
        <v>0</v>
      </c>
      <c r="BD101" s="24">
        <f t="shared" si="115"/>
        <v>0</v>
      </c>
      <c r="BE101" s="24">
        <f t="shared" si="115"/>
        <v>0</v>
      </c>
      <c r="BF101" s="24">
        <f t="shared" si="115"/>
        <v>0</v>
      </c>
      <c r="BG101" s="24">
        <f t="shared" si="115"/>
        <v>0</v>
      </c>
      <c r="BH101" s="24">
        <f t="shared" si="115"/>
        <v>0</v>
      </c>
      <c r="BI101" s="24">
        <f t="shared" si="115"/>
        <v>0</v>
      </c>
      <c r="BJ101" s="24">
        <f t="shared" si="115"/>
        <v>0</v>
      </c>
      <c r="BK101" s="24">
        <f t="shared" si="115"/>
        <v>0</v>
      </c>
      <c r="BL101" s="24">
        <f t="shared" si="115"/>
        <v>0</v>
      </c>
      <c r="BM101" s="24">
        <f t="shared" si="115"/>
        <v>3226528</v>
      </c>
      <c r="BN101" s="24"/>
      <c r="BO101" s="24">
        <f>X101-AT101</f>
        <v>0</v>
      </c>
      <c r="BP101" s="24">
        <f t="shared" si="117"/>
        <v>0</v>
      </c>
      <c r="BQ101" s="24">
        <f>Z101-AV101</f>
        <v>0</v>
      </c>
      <c r="BR101" s="25">
        <f t="shared" si="119"/>
        <v>0.87590276923076926</v>
      </c>
      <c r="BS101" s="24">
        <f t="shared" si="120"/>
        <v>22773472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>
        <f>+'[2]DICIEMBRE 2016'!$H$1245</f>
        <v>22773472</v>
      </c>
      <c r="CJ101" s="24"/>
      <c r="CK101" s="24"/>
      <c r="CL101" s="24"/>
      <c r="CM101" s="24"/>
      <c r="CN101" s="25">
        <f t="shared" si="121"/>
        <v>0.12409723076923074</v>
      </c>
      <c r="CO101" s="24">
        <f t="shared" si="122"/>
        <v>3226528</v>
      </c>
      <c r="CP101" s="24">
        <f t="shared" si="123"/>
        <v>0</v>
      </c>
      <c r="CQ101" s="24">
        <f t="shared" si="123"/>
        <v>0</v>
      </c>
      <c r="CR101" s="24">
        <f t="shared" si="123"/>
        <v>0</v>
      </c>
      <c r="CS101" s="24">
        <f t="shared" si="123"/>
        <v>0</v>
      </c>
      <c r="CT101" s="24">
        <f t="shared" si="123"/>
        <v>0</v>
      </c>
      <c r="CU101" s="24">
        <f t="shared" si="123"/>
        <v>0</v>
      </c>
      <c r="CV101" s="24">
        <f t="shared" si="123"/>
        <v>0</v>
      </c>
      <c r="CW101" s="24">
        <f t="shared" si="123"/>
        <v>0</v>
      </c>
      <c r="CX101" s="24">
        <f t="shared" si="123"/>
        <v>0</v>
      </c>
      <c r="CY101" s="24">
        <f t="shared" si="125"/>
        <v>0</v>
      </c>
      <c r="CZ101" s="24">
        <f t="shared" si="125"/>
        <v>0</v>
      </c>
      <c r="DA101" s="24">
        <f t="shared" si="125"/>
        <v>0</v>
      </c>
      <c r="DB101" s="24">
        <f>T101-CG101</f>
        <v>0</v>
      </c>
      <c r="DC101" s="24">
        <f>U101-CH101</f>
        <v>0</v>
      </c>
      <c r="DD101" s="24">
        <f>V101-CI101</f>
        <v>3226528</v>
      </c>
      <c r="DE101" s="24"/>
      <c r="DF101" s="24">
        <f>X101-CK101</f>
        <v>0</v>
      </c>
      <c r="DG101" s="24">
        <f>Y101-CL101</f>
        <v>0</v>
      </c>
      <c r="DH101" s="24">
        <f>Z101-CM101</f>
        <v>0</v>
      </c>
      <c r="DJ101" s="194"/>
      <c r="DK101" s="194"/>
      <c r="DL101" s="198"/>
      <c r="DM101" s="199"/>
      <c r="DN101" s="200"/>
    </row>
    <row r="102" spans="1:118" ht="29.25" hidden="1" customHeight="1" x14ac:dyDescent="0.25">
      <c r="A102" s="256"/>
      <c r="B102" s="86" t="s">
        <v>284</v>
      </c>
      <c r="C102" s="87" t="s">
        <v>285</v>
      </c>
      <c r="D102" s="21" t="s">
        <v>286</v>
      </c>
      <c r="E102" s="64">
        <v>301</v>
      </c>
      <c r="F102" s="23" t="s">
        <v>287</v>
      </c>
      <c r="G102" s="24">
        <f t="shared" si="110"/>
        <v>491057893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>
        <v>142057893</v>
      </c>
      <c r="V102" s="24">
        <f>322000000+20000000</f>
        <v>342000000</v>
      </c>
      <c r="W102" s="24"/>
      <c r="X102" s="24"/>
      <c r="Y102" s="24"/>
      <c r="Z102" s="24">
        <f>1000000+6000000</f>
        <v>7000000</v>
      </c>
      <c r="AA102" s="25">
        <f t="shared" si="111"/>
        <v>0.98234291083882441</v>
      </c>
      <c r="AB102" s="24">
        <f t="shared" si="112"/>
        <v>482387240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>
        <f>+'[2]DICIEMBRE 2016'!$Y$1259</f>
        <v>135747651</v>
      </c>
      <c r="AR102" s="24">
        <f>+'[4]DICIEMBRE 2016'!$Z$1264</f>
        <v>339690785</v>
      </c>
      <c r="AS102" s="24"/>
      <c r="AT102" s="24"/>
      <c r="AU102" s="24"/>
      <c r="AV102" s="24">
        <f>+'[5]NOVIEMBRE 2016'!$AG$1189</f>
        <v>6948804</v>
      </c>
      <c r="AW102" s="25">
        <f t="shared" si="113"/>
        <v>1.7657089161175588E-2</v>
      </c>
      <c r="AX102" s="24">
        <f t="shared" si="114"/>
        <v>8670653</v>
      </c>
      <c r="AY102" s="24">
        <f t="shared" si="115"/>
        <v>0</v>
      </c>
      <c r="AZ102" s="24">
        <f t="shared" si="115"/>
        <v>0</v>
      </c>
      <c r="BA102" s="24">
        <f t="shared" si="115"/>
        <v>0</v>
      </c>
      <c r="BB102" s="24">
        <f t="shared" ref="BB102:BM108" si="128">+K102-AG102</f>
        <v>0</v>
      </c>
      <c r="BC102" s="24">
        <f t="shared" si="128"/>
        <v>0</v>
      </c>
      <c r="BD102" s="24">
        <f t="shared" si="128"/>
        <v>0</v>
      </c>
      <c r="BE102" s="24">
        <f t="shared" si="128"/>
        <v>0</v>
      </c>
      <c r="BF102" s="24">
        <f t="shared" si="128"/>
        <v>0</v>
      </c>
      <c r="BG102" s="24">
        <f t="shared" si="128"/>
        <v>0</v>
      </c>
      <c r="BH102" s="24">
        <f t="shared" si="128"/>
        <v>0</v>
      </c>
      <c r="BI102" s="24">
        <f t="shared" si="128"/>
        <v>0</v>
      </c>
      <c r="BJ102" s="24">
        <f t="shared" si="128"/>
        <v>0</v>
      </c>
      <c r="BK102" s="24">
        <f t="shared" si="128"/>
        <v>0</v>
      </c>
      <c r="BL102" s="24">
        <f t="shared" si="128"/>
        <v>6310242</v>
      </c>
      <c r="BM102" s="24">
        <f t="shared" si="128"/>
        <v>2309215</v>
      </c>
      <c r="BN102" s="24"/>
      <c r="BO102" s="24"/>
      <c r="BP102" s="24">
        <f t="shared" si="117"/>
        <v>0</v>
      </c>
      <c r="BQ102" s="24">
        <f t="shared" ref="BQ102:BQ108" si="129">+Z102-AV102</f>
        <v>51196</v>
      </c>
      <c r="BR102" s="25">
        <f t="shared" si="119"/>
        <v>0.98234291083882441</v>
      </c>
      <c r="BS102" s="24">
        <f t="shared" si="120"/>
        <v>482387240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>
        <f>+'[2]DICIEMBRE 2016'!$Y$1259</f>
        <v>135747651</v>
      </c>
      <c r="CI102" s="24">
        <f>+'[4]DICIEMBRE 2016'!$Z$1264</f>
        <v>339690785</v>
      </c>
      <c r="CJ102" s="24"/>
      <c r="CK102" s="24"/>
      <c r="CL102" s="24"/>
      <c r="CM102" s="24">
        <f>+'[5]NOVIEMBRE 2016'!$H$1262+'[5]NOVIEMBRE 2016'!$H$1263+'[5]NOVIEMBRE 2016'!$H$1264+'[5]NOVIEMBRE 2016'!$H$1267+'[5]NOVIEMBRE 2016'!$H$1268+'[5]NOVIEMBRE 2016'!$H$1269+'[5]NOVIEMBRE 2016'!$H$1307</f>
        <v>6948804</v>
      </c>
      <c r="CN102" s="25">
        <f t="shared" si="121"/>
        <v>1.7657089161175588E-2</v>
      </c>
      <c r="CO102" s="24">
        <f t="shared" si="122"/>
        <v>8670653</v>
      </c>
      <c r="CP102" s="24">
        <f t="shared" si="123"/>
        <v>0</v>
      </c>
      <c r="CQ102" s="24">
        <f t="shared" si="123"/>
        <v>0</v>
      </c>
      <c r="CR102" s="24">
        <f t="shared" si="123"/>
        <v>0</v>
      </c>
      <c r="CS102" s="24">
        <f t="shared" si="123"/>
        <v>0</v>
      </c>
      <c r="CT102" s="24">
        <f t="shared" si="123"/>
        <v>0</v>
      </c>
      <c r="CU102" s="24">
        <f t="shared" si="123"/>
        <v>0</v>
      </c>
      <c r="CV102" s="24">
        <f t="shared" ref="CV102:CW108" si="130">+N102-CA102</f>
        <v>0</v>
      </c>
      <c r="CW102" s="24">
        <f t="shared" si="130"/>
        <v>0</v>
      </c>
      <c r="CX102" s="24">
        <f t="shared" si="123"/>
        <v>0</v>
      </c>
      <c r="CY102" s="24">
        <f t="shared" si="125"/>
        <v>0</v>
      </c>
      <c r="CZ102" s="24">
        <f t="shared" si="125"/>
        <v>0</v>
      </c>
      <c r="DA102" s="24">
        <f t="shared" si="125"/>
        <v>0</v>
      </c>
      <c r="DB102" s="24">
        <f t="shared" ref="DB102:DD108" si="131">+T102-CG102</f>
        <v>0</v>
      </c>
      <c r="DC102" s="24">
        <f t="shared" si="131"/>
        <v>6310242</v>
      </c>
      <c r="DD102" s="24">
        <f t="shared" si="131"/>
        <v>2309215</v>
      </c>
      <c r="DE102" s="24"/>
      <c r="DF102" s="24">
        <f t="shared" ref="DF102:DH108" si="132">+X102-CK102</f>
        <v>0</v>
      </c>
      <c r="DG102" s="24">
        <f t="shared" si="132"/>
        <v>0</v>
      </c>
      <c r="DH102" s="24">
        <f t="shared" si="132"/>
        <v>51196</v>
      </c>
      <c r="DJ102" s="194"/>
      <c r="DK102" s="194"/>
      <c r="DL102" s="198"/>
      <c r="DM102" s="199"/>
      <c r="DN102" s="200"/>
    </row>
    <row r="103" spans="1:118" ht="54.75" hidden="1" customHeight="1" x14ac:dyDescent="0.25">
      <c r="A103" s="256"/>
      <c r="B103" s="88" t="s">
        <v>288</v>
      </c>
      <c r="C103" s="69" t="s">
        <v>289</v>
      </c>
      <c r="D103" s="21" t="s">
        <v>290</v>
      </c>
      <c r="E103" s="22">
        <v>301</v>
      </c>
      <c r="F103" s="23" t="s">
        <v>291</v>
      </c>
      <c r="G103" s="24">
        <f t="shared" si="110"/>
        <v>329125485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>
        <v>316000000</v>
      </c>
      <c r="W103" s="24"/>
      <c r="X103" s="24"/>
      <c r="Y103" s="24"/>
      <c r="Z103" s="24">
        <f>6000000+1000000+2425485+1700000+2000000</f>
        <v>13125485</v>
      </c>
      <c r="AA103" s="25">
        <f t="shared" si="111"/>
        <v>0.96540715769852947</v>
      </c>
      <c r="AB103" s="24">
        <f t="shared" si="112"/>
        <v>317740099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>
        <f>+'[4]DICIEMBRE 2016'!$Z$1382</f>
        <v>304709714</v>
      </c>
      <c r="AS103" s="24"/>
      <c r="AT103" s="24"/>
      <c r="AU103" s="24"/>
      <c r="AV103" s="24">
        <f>+'[2]DICIEMBRE 2016'!$AG$1393</f>
        <v>13030385</v>
      </c>
      <c r="AW103" s="25">
        <f t="shared" si="113"/>
        <v>3.4592842301470528E-2</v>
      </c>
      <c r="AX103" s="24">
        <f t="shared" si="114"/>
        <v>11385386</v>
      </c>
      <c r="AY103" s="24">
        <f t="shared" si="115"/>
        <v>0</v>
      </c>
      <c r="AZ103" s="24">
        <f t="shared" si="115"/>
        <v>0</v>
      </c>
      <c r="BA103" s="24">
        <f t="shared" si="115"/>
        <v>0</v>
      </c>
      <c r="BB103" s="24">
        <f t="shared" si="128"/>
        <v>0</v>
      </c>
      <c r="BC103" s="24">
        <f t="shared" si="128"/>
        <v>0</v>
      </c>
      <c r="BD103" s="24">
        <f t="shared" si="128"/>
        <v>0</v>
      </c>
      <c r="BE103" s="24">
        <f t="shared" si="128"/>
        <v>0</v>
      </c>
      <c r="BF103" s="24">
        <f t="shared" si="128"/>
        <v>0</v>
      </c>
      <c r="BG103" s="24">
        <f t="shared" si="128"/>
        <v>0</v>
      </c>
      <c r="BH103" s="24">
        <f t="shared" si="128"/>
        <v>0</v>
      </c>
      <c r="BI103" s="24">
        <f t="shared" si="128"/>
        <v>0</v>
      </c>
      <c r="BJ103" s="24">
        <f t="shared" si="128"/>
        <v>0</v>
      </c>
      <c r="BK103" s="24">
        <f t="shared" si="128"/>
        <v>0</v>
      </c>
      <c r="BL103" s="24">
        <f t="shared" si="128"/>
        <v>0</v>
      </c>
      <c r="BM103" s="24">
        <f t="shared" si="128"/>
        <v>11290286</v>
      </c>
      <c r="BN103" s="24"/>
      <c r="BO103" s="24"/>
      <c r="BP103" s="24">
        <f t="shared" si="117"/>
        <v>0</v>
      </c>
      <c r="BQ103" s="24">
        <f t="shared" si="129"/>
        <v>95100</v>
      </c>
      <c r="BR103" s="25">
        <f t="shared" si="119"/>
        <v>0.96540715769852947</v>
      </c>
      <c r="BS103" s="24">
        <f t="shared" si="120"/>
        <v>317740099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>
        <f>+'[4]DICIEMBRE 2016'!$Z$1382</f>
        <v>304709714</v>
      </c>
      <c r="CJ103" s="24"/>
      <c r="CK103" s="24"/>
      <c r="CL103" s="24"/>
      <c r="CM103" s="24">
        <f>+'[2]DICIEMBRE 2016'!$AG$1393</f>
        <v>13030385</v>
      </c>
      <c r="CN103" s="25">
        <f t="shared" si="121"/>
        <v>3.4592842301470528E-2</v>
      </c>
      <c r="CO103" s="24">
        <f t="shared" si="122"/>
        <v>11385386</v>
      </c>
      <c r="CP103" s="24">
        <f t="shared" si="123"/>
        <v>0</v>
      </c>
      <c r="CQ103" s="24">
        <f t="shared" si="123"/>
        <v>0</v>
      </c>
      <c r="CR103" s="24">
        <f t="shared" si="123"/>
        <v>0</v>
      </c>
      <c r="CS103" s="24">
        <f t="shared" si="123"/>
        <v>0</v>
      </c>
      <c r="CT103" s="24">
        <f t="shared" si="123"/>
        <v>0</v>
      </c>
      <c r="CU103" s="24">
        <f t="shared" si="123"/>
        <v>0</v>
      </c>
      <c r="CV103" s="24">
        <f t="shared" si="130"/>
        <v>0</v>
      </c>
      <c r="CW103" s="24">
        <f t="shared" si="130"/>
        <v>0</v>
      </c>
      <c r="CX103" s="24">
        <f t="shared" si="123"/>
        <v>0</v>
      </c>
      <c r="CY103" s="24">
        <f t="shared" si="125"/>
        <v>0</v>
      </c>
      <c r="CZ103" s="24">
        <f t="shared" si="125"/>
        <v>0</v>
      </c>
      <c r="DA103" s="24">
        <f t="shared" si="125"/>
        <v>0</v>
      </c>
      <c r="DB103" s="24">
        <f t="shared" si="131"/>
        <v>0</v>
      </c>
      <c r="DC103" s="24">
        <f t="shared" si="131"/>
        <v>0</v>
      </c>
      <c r="DD103" s="24">
        <f t="shared" si="131"/>
        <v>11290286</v>
      </c>
      <c r="DE103" s="24"/>
      <c r="DF103" s="24">
        <f t="shared" si="132"/>
        <v>0</v>
      </c>
      <c r="DG103" s="24">
        <f t="shared" si="132"/>
        <v>0</v>
      </c>
      <c r="DH103" s="24">
        <f t="shared" si="132"/>
        <v>95100</v>
      </c>
      <c r="DJ103" s="194"/>
      <c r="DK103" s="194"/>
      <c r="DL103" s="198"/>
      <c r="DM103" s="199"/>
      <c r="DN103" s="200"/>
    </row>
    <row r="104" spans="1:118" ht="42" hidden="1" customHeight="1" x14ac:dyDescent="0.25">
      <c r="A104" s="256"/>
      <c r="B104" s="88" t="s">
        <v>292</v>
      </c>
      <c r="C104" s="69" t="s">
        <v>293</v>
      </c>
      <c r="D104" s="21" t="s">
        <v>294</v>
      </c>
      <c r="E104" s="22">
        <v>301</v>
      </c>
      <c r="F104" s="23" t="s">
        <v>295</v>
      </c>
      <c r="G104" s="24">
        <f t="shared" si="110"/>
        <v>52155066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f>67000000-30600000</f>
        <v>36400000</v>
      </c>
      <c r="W104" s="24"/>
      <c r="X104" s="24"/>
      <c r="Y104" s="24"/>
      <c r="Z104" s="24">
        <f>2000000+2682410+1000000+257590+3915066+900000+5000000</f>
        <v>15755066</v>
      </c>
      <c r="AA104" s="25">
        <f t="shared" si="111"/>
        <v>0.85418043570302449</v>
      </c>
      <c r="AB104" s="24">
        <f t="shared" si="112"/>
        <v>44549837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+'[2]DICIEMBRE 2016'!$Z$1488</f>
        <v>30946804</v>
      </c>
      <c r="AS104" s="24"/>
      <c r="AT104" s="24"/>
      <c r="AU104" s="24"/>
      <c r="AV104" s="24">
        <f>+'[2]DICIEMBRE 2016'!$AG$1488</f>
        <v>13603033</v>
      </c>
      <c r="AW104" s="25">
        <f t="shared" si="113"/>
        <v>0.14581956429697551</v>
      </c>
      <c r="AX104" s="24">
        <f t="shared" si="114"/>
        <v>7605229</v>
      </c>
      <c r="AY104" s="24">
        <f t="shared" si="115"/>
        <v>0</v>
      </c>
      <c r="AZ104" s="24">
        <f t="shared" si="115"/>
        <v>0</v>
      </c>
      <c r="BA104" s="24">
        <f t="shared" si="115"/>
        <v>0</v>
      </c>
      <c r="BB104" s="24">
        <f t="shared" si="128"/>
        <v>0</v>
      </c>
      <c r="BC104" s="24">
        <f t="shared" si="128"/>
        <v>0</v>
      </c>
      <c r="BD104" s="24">
        <f t="shared" si="128"/>
        <v>0</v>
      </c>
      <c r="BE104" s="24">
        <f t="shared" si="128"/>
        <v>0</v>
      </c>
      <c r="BF104" s="24">
        <f t="shared" si="128"/>
        <v>0</v>
      </c>
      <c r="BG104" s="24">
        <f t="shared" si="128"/>
        <v>0</v>
      </c>
      <c r="BH104" s="24">
        <f t="shared" si="128"/>
        <v>0</v>
      </c>
      <c r="BI104" s="24">
        <f t="shared" si="128"/>
        <v>0</v>
      </c>
      <c r="BJ104" s="24">
        <f t="shared" si="128"/>
        <v>0</v>
      </c>
      <c r="BK104" s="24">
        <f t="shared" si="128"/>
        <v>0</v>
      </c>
      <c r="BL104" s="24">
        <f t="shared" si="128"/>
        <v>0</v>
      </c>
      <c r="BM104" s="24">
        <f t="shared" si="128"/>
        <v>5453196</v>
      </c>
      <c r="BN104" s="24"/>
      <c r="BO104" s="24"/>
      <c r="BP104" s="24">
        <f t="shared" si="117"/>
        <v>0</v>
      </c>
      <c r="BQ104" s="24">
        <f t="shared" si="129"/>
        <v>2152033</v>
      </c>
      <c r="BR104" s="25">
        <f t="shared" si="119"/>
        <v>0.85418043570302449</v>
      </c>
      <c r="BS104" s="24">
        <f t="shared" si="120"/>
        <v>44549837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+'[2]DICIEMBRE 2016'!$Z$1488</f>
        <v>30946804</v>
      </c>
      <c r="CJ104" s="24"/>
      <c r="CK104" s="24"/>
      <c r="CL104" s="24"/>
      <c r="CM104" s="24">
        <f>+'[2]DICIEMBRE 2016'!$AG$1488</f>
        <v>13603033</v>
      </c>
      <c r="CN104" s="25">
        <f t="shared" si="121"/>
        <v>0.14581956429697551</v>
      </c>
      <c r="CO104" s="24">
        <f t="shared" si="122"/>
        <v>7605229</v>
      </c>
      <c r="CP104" s="24">
        <f t="shared" si="123"/>
        <v>0</v>
      </c>
      <c r="CQ104" s="24">
        <f t="shared" si="123"/>
        <v>0</v>
      </c>
      <c r="CR104" s="24">
        <f t="shared" si="123"/>
        <v>0</v>
      </c>
      <c r="CS104" s="24">
        <f t="shared" si="123"/>
        <v>0</v>
      </c>
      <c r="CT104" s="24">
        <f t="shared" si="123"/>
        <v>0</v>
      </c>
      <c r="CU104" s="24">
        <f t="shared" si="123"/>
        <v>0</v>
      </c>
      <c r="CV104" s="24">
        <f t="shared" si="130"/>
        <v>0</v>
      </c>
      <c r="CW104" s="24">
        <f t="shared" si="130"/>
        <v>0</v>
      </c>
      <c r="CX104" s="24">
        <f t="shared" si="123"/>
        <v>0</v>
      </c>
      <c r="CY104" s="24">
        <f t="shared" si="125"/>
        <v>0</v>
      </c>
      <c r="CZ104" s="24">
        <f t="shared" si="125"/>
        <v>0</v>
      </c>
      <c r="DA104" s="24">
        <f t="shared" si="125"/>
        <v>0</v>
      </c>
      <c r="DB104" s="24">
        <f t="shared" si="131"/>
        <v>0</v>
      </c>
      <c r="DC104" s="24">
        <f t="shared" si="131"/>
        <v>0</v>
      </c>
      <c r="DD104" s="24">
        <f t="shared" si="131"/>
        <v>5453196</v>
      </c>
      <c r="DE104" s="24"/>
      <c r="DF104" s="24">
        <f t="shared" si="132"/>
        <v>0</v>
      </c>
      <c r="DG104" s="24">
        <f t="shared" si="132"/>
        <v>0</v>
      </c>
      <c r="DH104" s="24">
        <f t="shared" si="132"/>
        <v>2152033</v>
      </c>
      <c r="DJ104" s="194"/>
      <c r="DK104" s="194"/>
      <c r="DL104" s="198"/>
      <c r="DM104" s="199"/>
      <c r="DN104" s="200"/>
    </row>
    <row r="105" spans="1:118" ht="33" hidden="1" customHeight="1" x14ac:dyDescent="0.25">
      <c r="A105" s="256"/>
      <c r="B105" s="239" t="s">
        <v>296</v>
      </c>
      <c r="C105" s="69" t="s">
        <v>297</v>
      </c>
      <c r="D105" s="21" t="s">
        <v>298</v>
      </c>
      <c r="E105" s="22">
        <v>301</v>
      </c>
      <c r="F105" s="23" t="s">
        <v>267</v>
      </c>
      <c r="G105" s="24">
        <f t="shared" si="110"/>
        <v>1313393743</v>
      </c>
      <c r="H105" s="24">
        <f>200000000-1591857</f>
        <v>198408143</v>
      </c>
      <c r="I105" s="24">
        <v>268168096</v>
      </c>
      <c r="J105" s="24"/>
      <c r="K105" s="24">
        <v>701280247</v>
      </c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102551657+22000000+23000000-2014400</f>
        <v>145537257</v>
      </c>
      <c r="W105" s="24"/>
      <c r="X105" s="24"/>
      <c r="Y105" s="24"/>
      <c r="Z105" s="24"/>
      <c r="AA105" s="25">
        <f t="shared" si="111"/>
        <v>0.91552995086866351</v>
      </c>
      <c r="AB105" s="24">
        <f t="shared" si="112"/>
        <v>1202451309</v>
      </c>
      <c r="AC105" s="24"/>
      <c r="AD105" s="24">
        <f>+'[4]DICIEMBRE 2016'!$K$1502</f>
        <v>191559085</v>
      </c>
      <c r="AE105" s="24">
        <f>+'[4]DICIEMBRE 2016'!$M$1502</f>
        <v>241589585</v>
      </c>
      <c r="AF105" s="24"/>
      <c r="AG105" s="24">
        <f>+'[4]DICIEMBRE 2016'!$O$1502</f>
        <v>631775394</v>
      </c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+'[4]DICIEMBRE 2016'!$Z$1502</f>
        <v>137527245</v>
      </c>
      <c r="AS105" s="24"/>
      <c r="AT105" s="24"/>
      <c r="AU105" s="24"/>
      <c r="AV105" s="24"/>
      <c r="AW105" s="25">
        <f t="shared" si="113"/>
        <v>8.4470049131336489E-2</v>
      </c>
      <c r="AX105" s="24">
        <f t="shared" si="114"/>
        <v>110942434</v>
      </c>
      <c r="AY105" s="24">
        <f t="shared" si="115"/>
        <v>6849058</v>
      </c>
      <c r="AZ105" s="24">
        <f t="shared" si="115"/>
        <v>26578511</v>
      </c>
      <c r="BA105" s="24">
        <f t="shared" si="115"/>
        <v>0</v>
      </c>
      <c r="BB105" s="24">
        <f t="shared" si="128"/>
        <v>69504853</v>
      </c>
      <c r="BC105" s="24">
        <f t="shared" si="128"/>
        <v>0</v>
      </c>
      <c r="BD105" s="24">
        <f t="shared" si="128"/>
        <v>0</v>
      </c>
      <c r="BE105" s="24">
        <f t="shared" si="128"/>
        <v>0</v>
      </c>
      <c r="BF105" s="24">
        <f t="shared" si="128"/>
        <v>0</v>
      </c>
      <c r="BG105" s="24">
        <f t="shared" si="128"/>
        <v>0</v>
      </c>
      <c r="BH105" s="24">
        <f t="shared" si="128"/>
        <v>0</v>
      </c>
      <c r="BI105" s="24">
        <f t="shared" si="128"/>
        <v>0</v>
      </c>
      <c r="BJ105" s="24">
        <f t="shared" si="128"/>
        <v>0</v>
      </c>
      <c r="BK105" s="24">
        <f t="shared" si="128"/>
        <v>0</v>
      </c>
      <c r="BL105" s="24">
        <f t="shared" si="128"/>
        <v>0</v>
      </c>
      <c r="BM105" s="24">
        <f t="shared" si="128"/>
        <v>8010012</v>
      </c>
      <c r="BN105" s="24"/>
      <c r="BO105" s="24"/>
      <c r="BP105" s="24">
        <f t="shared" si="117"/>
        <v>0</v>
      </c>
      <c r="BQ105" s="24">
        <f t="shared" si="129"/>
        <v>0</v>
      </c>
      <c r="BR105" s="25">
        <f t="shared" si="119"/>
        <v>0.91552995086866351</v>
      </c>
      <c r="BS105" s="24">
        <f t="shared" si="120"/>
        <v>1202451309</v>
      </c>
      <c r="BT105" s="24"/>
      <c r="BU105" s="24">
        <f>+'[4]DICIEMBRE 2016'!$K$1502</f>
        <v>191559085</v>
      </c>
      <c r="BV105" s="24">
        <f>+'[4]DICIEMBRE 2016'!$M$1502</f>
        <v>241589585</v>
      </c>
      <c r="BW105" s="24"/>
      <c r="BX105" s="24">
        <f>+'[4]DICIEMBRE 2016'!$O$1502</f>
        <v>631775394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+'[4]DICIEMBRE 2016'!$Z$1502</f>
        <v>137527245</v>
      </c>
      <c r="CJ105" s="24"/>
      <c r="CK105" s="24"/>
      <c r="CL105" s="24"/>
      <c r="CM105" s="24"/>
      <c r="CN105" s="25">
        <f t="shared" si="121"/>
        <v>8.4470049131336489E-2</v>
      </c>
      <c r="CO105" s="24">
        <f t="shared" si="122"/>
        <v>110942434</v>
      </c>
      <c r="CP105" s="24">
        <f t="shared" si="123"/>
        <v>6849058</v>
      </c>
      <c r="CQ105" s="24">
        <f t="shared" si="123"/>
        <v>26578511</v>
      </c>
      <c r="CR105" s="24">
        <f t="shared" si="123"/>
        <v>0</v>
      </c>
      <c r="CS105" s="24">
        <f t="shared" si="123"/>
        <v>69504853</v>
      </c>
      <c r="CT105" s="24">
        <f t="shared" si="123"/>
        <v>0</v>
      </c>
      <c r="CU105" s="24">
        <f t="shared" si="123"/>
        <v>0</v>
      </c>
      <c r="CV105" s="24">
        <f t="shared" si="130"/>
        <v>0</v>
      </c>
      <c r="CW105" s="24">
        <f t="shared" si="130"/>
        <v>0</v>
      </c>
      <c r="CX105" s="24">
        <f t="shared" si="123"/>
        <v>0</v>
      </c>
      <c r="CY105" s="24">
        <f t="shared" si="125"/>
        <v>0</v>
      </c>
      <c r="CZ105" s="24">
        <f t="shared" si="125"/>
        <v>0</v>
      </c>
      <c r="DA105" s="24">
        <f t="shared" si="125"/>
        <v>0</v>
      </c>
      <c r="DB105" s="24">
        <f t="shared" si="131"/>
        <v>0</v>
      </c>
      <c r="DC105" s="24">
        <f t="shared" si="131"/>
        <v>0</v>
      </c>
      <c r="DD105" s="24">
        <f t="shared" si="131"/>
        <v>8010012</v>
      </c>
      <c r="DE105" s="24"/>
      <c r="DF105" s="24">
        <f t="shared" si="132"/>
        <v>0</v>
      </c>
      <c r="DG105" s="24">
        <f t="shared" si="132"/>
        <v>0</v>
      </c>
      <c r="DH105" s="24">
        <f t="shared" si="132"/>
        <v>0</v>
      </c>
      <c r="DJ105" s="194"/>
      <c r="DK105" s="194"/>
      <c r="DL105" s="198"/>
      <c r="DM105" s="199"/>
      <c r="DN105" s="200"/>
    </row>
    <row r="106" spans="1:118" ht="36" hidden="1" customHeight="1" x14ac:dyDescent="0.25">
      <c r="A106" s="256"/>
      <c r="B106" s="240"/>
      <c r="C106" s="69" t="s">
        <v>299</v>
      </c>
      <c r="D106" s="21" t="s">
        <v>300</v>
      </c>
      <c r="E106" s="22">
        <v>301</v>
      </c>
      <c r="F106" s="23" t="s">
        <v>267</v>
      </c>
      <c r="G106" s="24">
        <f t="shared" si="110"/>
        <v>23760324</v>
      </c>
      <c r="H106" s="24">
        <v>1591857</v>
      </c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20000000+2014400+154067</f>
        <v>22168467</v>
      </c>
      <c r="W106" s="24"/>
      <c r="X106" s="24"/>
      <c r="Y106" s="24"/>
      <c r="Z106" s="24"/>
      <c r="AA106" s="25">
        <f t="shared" si="111"/>
        <v>1</v>
      </c>
      <c r="AB106" s="24">
        <f t="shared" si="112"/>
        <v>23760324</v>
      </c>
      <c r="AC106" s="24"/>
      <c r="AD106" s="24">
        <f>+'[2]DICIEMBRE 2016'!$K$1535</f>
        <v>1591857</v>
      </c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+'[2]DICIEMBRE 2016'!$Z$1535</f>
        <v>22168467</v>
      </c>
      <c r="AS106" s="24"/>
      <c r="AT106" s="24"/>
      <c r="AU106" s="24"/>
      <c r="AV106" s="24"/>
      <c r="AW106" s="25">
        <f t="shared" si="113"/>
        <v>0</v>
      </c>
      <c r="AX106" s="24">
        <f t="shared" si="114"/>
        <v>0</v>
      </c>
      <c r="AY106" s="24">
        <f t="shared" si="115"/>
        <v>0</v>
      </c>
      <c r="AZ106" s="24">
        <f t="shared" si="115"/>
        <v>0</v>
      </c>
      <c r="BA106" s="24">
        <f t="shared" si="115"/>
        <v>0</v>
      </c>
      <c r="BB106" s="24">
        <f t="shared" si="128"/>
        <v>0</v>
      </c>
      <c r="BC106" s="24">
        <f t="shared" si="128"/>
        <v>0</v>
      </c>
      <c r="BD106" s="24">
        <f t="shared" si="128"/>
        <v>0</v>
      </c>
      <c r="BE106" s="24">
        <f t="shared" si="128"/>
        <v>0</v>
      </c>
      <c r="BF106" s="24">
        <f t="shared" si="128"/>
        <v>0</v>
      </c>
      <c r="BG106" s="24">
        <f t="shared" si="128"/>
        <v>0</v>
      </c>
      <c r="BH106" s="24">
        <f t="shared" si="128"/>
        <v>0</v>
      </c>
      <c r="BI106" s="24">
        <f t="shared" si="128"/>
        <v>0</v>
      </c>
      <c r="BJ106" s="24">
        <f t="shared" si="128"/>
        <v>0</v>
      </c>
      <c r="BK106" s="24">
        <f t="shared" si="128"/>
        <v>0</v>
      </c>
      <c r="BL106" s="24">
        <f t="shared" si="128"/>
        <v>0</v>
      </c>
      <c r="BM106" s="24">
        <f t="shared" si="128"/>
        <v>0</v>
      </c>
      <c r="BN106" s="24"/>
      <c r="BO106" s="24"/>
      <c r="BP106" s="24">
        <f t="shared" si="117"/>
        <v>0</v>
      </c>
      <c r="BQ106" s="24">
        <f t="shared" si="129"/>
        <v>0</v>
      </c>
      <c r="BR106" s="25">
        <f t="shared" si="119"/>
        <v>1</v>
      </c>
      <c r="BS106" s="24">
        <f t="shared" si="120"/>
        <v>23760324</v>
      </c>
      <c r="BT106" s="24"/>
      <c r="BU106" s="24">
        <f>+'[2]DICIEMBRE 2016'!$K$1535</f>
        <v>1591857</v>
      </c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+'[2]DICIEMBRE 2016'!$H$1536+'[2]DICIEMBRE 2016'!$H$1543</f>
        <v>22168467</v>
      </c>
      <c r="CJ106" s="24"/>
      <c r="CK106" s="24"/>
      <c r="CL106" s="24"/>
      <c r="CM106" s="24"/>
      <c r="CN106" s="25">
        <f t="shared" si="121"/>
        <v>0</v>
      </c>
      <c r="CO106" s="24">
        <f t="shared" si="122"/>
        <v>0</v>
      </c>
      <c r="CP106" s="24">
        <f t="shared" si="123"/>
        <v>0</v>
      </c>
      <c r="CQ106" s="24">
        <f t="shared" si="123"/>
        <v>0</v>
      </c>
      <c r="CR106" s="24">
        <f t="shared" si="123"/>
        <v>0</v>
      </c>
      <c r="CS106" s="24">
        <f t="shared" si="123"/>
        <v>0</v>
      </c>
      <c r="CT106" s="24">
        <f t="shared" si="123"/>
        <v>0</v>
      </c>
      <c r="CU106" s="24">
        <f t="shared" si="123"/>
        <v>0</v>
      </c>
      <c r="CV106" s="24">
        <f t="shared" si="130"/>
        <v>0</v>
      </c>
      <c r="CW106" s="24">
        <f t="shared" si="130"/>
        <v>0</v>
      </c>
      <c r="CX106" s="24">
        <f t="shared" si="123"/>
        <v>0</v>
      </c>
      <c r="CY106" s="24">
        <f t="shared" si="125"/>
        <v>0</v>
      </c>
      <c r="CZ106" s="24">
        <f t="shared" si="125"/>
        <v>0</v>
      </c>
      <c r="DA106" s="24">
        <f t="shared" si="125"/>
        <v>0</v>
      </c>
      <c r="DB106" s="24">
        <f t="shared" si="131"/>
        <v>0</v>
      </c>
      <c r="DC106" s="24">
        <f t="shared" si="131"/>
        <v>0</v>
      </c>
      <c r="DD106" s="24">
        <f t="shared" si="131"/>
        <v>0</v>
      </c>
      <c r="DE106" s="24"/>
      <c r="DF106" s="24">
        <f t="shared" si="132"/>
        <v>0</v>
      </c>
      <c r="DG106" s="24">
        <f t="shared" si="132"/>
        <v>0</v>
      </c>
      <c r="DH106" s="24">
        <f t="shared" si="132"/>
        <v>0</v>
      </c>
      <c r="DJ106" s="194" t="s">
        <v>412</v>
      </c>
      <c r="DK106" s="194"/>
      <c r="DL106" s="198"/>
      <c r="DM106" s="199"/>
      <c r="DN106" s="200"/>
    </row>
    <row r="107" spans="1:118" ht="24.75" hidden="1" customHeight="1" x14ac:dyDescent="0.25">
      <c r="A107" s="256"/>
      <c r="B107" s="241"/>
      <c r="C107" s="69" t="s">
        <v>301</v>
      </c>
      <c r="D107" s="21" t="s">
        <v>302</v>
      </c>
      <c r="E107" s="89">
        <v>301</v>
      </c>
      <c r="F107" s="23" t="s">
        <v>267</v>
      </c>
      <c r="G107" s="24">
        <f t="shared" si="110"/>
        <v>99845933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f>100000000-154067</f>
        <v>99845933</v>
      </c>
      <c r="W107" s="24"/>
      <c r="X107" s="24"/>
      <c r="Y107" s="24"/>
      <c r="Z107" s="24"/>
      <c r="AA107" s="25">
        <f t="shared" si="111"/>
        <v>0.98076554605383881</v>
      </c>
      <c r="AB107" s="24">
        <f t="shared" si="112"/>
        <v>97925451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+'[4]DICIEMBRE 2016'!$Z$1538</f>
        <v>97925451</v>
      </c>
      <c r="AS107" s="24"/>
      <c r="AT107" s="24"/>
      <c r="AU107" s="24"/>
      <c r="AV107" s="24"/>
      <c r="AW107" s="25">
        <f t="shared" si="113"/>
        <v>1.923445394616119E-2</v>
      </c>
      <c r="AX107" s="24">
        <f t="shared" si="114"/>
        <v>1920482</v>
      </c>
      <c r="AY107" s="24">
        <f t="shared" si="115"/>
        <v>0</v>
      </c>
      <c r="AZ107" s="24">
        <f t="shared" si="115"/>
        <v>0</v>
      </c>
      <c r="BA107" s="24">
        <f t="shared" si="115"/>
        <v>0</v>
      </c>
      <c r="BB107" s="24">
        <f t="shared" si="128"/>
        <v>0</v>
      </c>
      <c r="BC107" s="24">
        <f t="shared" si="128"/>
        <v>0</v>
      </c>
      <c r="BD107" s="24">
        <f t="shared" si="128"/>
        <v>0</v>
      </c>
      <c r="BE107" s="24">
        <f t="shared" si="128"/>
        <v>0</v>
      </c>
      <c r="BF107" s="24">
        <f t="shared" si="128"/>
        <v>0</v>
      </c>
      <c r="BG107" s="24">
        <f t="shared" si="128"/>
        <v>0</v>
      </c>
      <c r="BH107" s="24">
        <f t="shared" si="128"/>
        <v>0</v>
      </c>
      <c r="BI107" s="24">
        <f t="shared" si="128"/>
        <v>0</v>
      </c>
      <c r="BJ107" s="24">
        <f t="shared" si="128"/>
        <v>0</v>
      </c>
      <c r="BK107" s="24">
        <f t="shared" si="128"/>
        <v>0</v>
      </c>
      <c r="BL107" s="24">
        <f t="shared" si="128"/>
        <v>0</v>
      </c>
      <c r="BM107" s="24">
        <f t="shared" si="128"/>
        <v>1920482</v>
      </c>
      <c r="BN107" s="24"/>
      <c r="BO107" s="24"/>
      <c r="BP107" s="24">
        <f t="shared" si="117"/>
        <v>0</v>
      </c>
      <c r="BQ107" s="24">
        <f t="shared" si="129"/>
        <v>0</v>
      </c>
      <c r="BR107" s="25">
        <f t="shared" si="119"/>
        <v>0.98076554605383881</v>
      </c>
      <c r="BS107" s="24">
        <f t="shared" si="120"/>
        <v>97925451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+'[4]DICIEMBRE 2016'!$Z$1538</f>
        <v>97925451</v>
      </c>
      <c r="CJ107" s="24"/>
      <c r="CK107" s="24"/>
      <c r="CL107" s="24"/>
      <c r="CM107" s="24"/>
      <c r="CN107" s="25">
        <f t="shared" si="121"/>
        <v>1.923445394616119E-2</v>
      </c>
      <c r="CO107" s="24">
        <f t="shared" si="122"/>
        <v>1920482</v>
      </c>
      <c r="CP107" s="24">
        <f t="shared" si="123"/>
        <v>0</v>
      </c>
      <c r="CQ107" s="24">
        <f t="shared" si="123"/>
        <v>0</v>
      </c>
      <c r="CR107" s="24">
        <f t="shared" si="123"/>
        <v>0</v>
      </c>
      <c r="CS107" s="24">
        <f t="shared" si="123"/>
        <v>0</v>
      </c>
      <c r="CT107" s="24">
        <f t="shared" si="123"/>
        <v>0</v>
      </c>
      <c r="CU107" s="24">
        <f t="shared" si="123"/>
        <v>0</v>
      </c>
      <c r="CV107" s="24">
        <f t="shared" si="130"/>
        <v>0</v>
      </c>
      <c r="CW107" s="24">
        <f t="shared" si="130"/>
        <v>0</v>
      </c>
      <c r="CX107" s="24">
        <f t="shared" si="123"/>
        <v>0</v>
      </c>
      <c r="CY107" s="24">
        <f t="shared" si="125"/>
        <v>0</v>
      </c>
      <c r="CZ107" s="24">
        <f t="shared" si="125"/>
        <v>0</v>
      </c>
      <c r="DA107" s="24">
        <f t="shared" si="125"/>
        <v>0</v>
      </c>
      <c r="DB107" s="24">
        <f t="shared" si="131"/>
        <v>0</v>
      </c>
      <c r="DC107" s="24">
        <f t="shared" si="131"/>
        <v>0</v>
      </c>
      <c r="DD107" s="24">
        <f t="shared" si="131"/>
        <v>1920482</v>
      </c>
      <c r="DE107" s="24"/>
      <c r="DF107" s="24">
        <f t="shared" si="132"/>
        <v>0</v>
      </c>
      <c r="DG107" s="24">
        <f t="shared" si="132"/>
        <v>0</v>
      </c>
      <c r="DH107" s="24">
        <f t="shared" si="132"/>
        <v>0</v>
      </c>
      <c r="DJ107" s="194"/>
      <c r="DK107" s="194"/>
      <c r="DL107" s="198"/>
      <c r="DM107" s="199"/>
      <c r="DN107" s="200"/>
    </row>
    <row r="108" spans="1:118" ht="23.25" hidden="1" customHeight="1" x14ac:dyDescent="0.25">
      <c r="A108" s="256"/>
      <c r="B108" s="88" t="s">
        <v>303</v>
      </c>
      <c r="C108" s="69" t="s">
        <v>304</v>
      </c>
      <c r="D108" s="21" t="s">
        <v>305</v>
      </c>
      <c r="E108" s="89">
        <v>301</v>
      </c>
      <c r="F108" s="23" t="s">
        <v>267</v>
      </c>
      <c r="G108" s="24">
        <f t="shared" si="110"/>
        <v>50000000</v>
      </c>
      <c r="H108" s="24"/>
      <c r="I108" s="24">
        <f>50000000-50000000</f>
        <v>0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>
        <f>21264791+28735209</f>
        <v>50000000</v>
      </c>
      <c r="V108" s="24"/>
      <c r="W108" s="24"/>
      <c r="X108" s="24"/>
      <c r="Y108" s="24"/>
      <c r="Z108" s="24"/>
      <c r="AA108" s="25">
        <f t="shared" si="111"/>
        <v>0.95293510000000003</v>
      </c>
      <c r="AB108" s="24">
        <f t="shared" si="112"/>
        <v>47646755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>
        <f>+'[1]OCTUBRE 2016'!$Y$1327</f>
        <v>47646755</v>
      </c>
      <c r="AR108" s="24"/>
      <c r="AS108" s="24"/>
      <c r="AT108" s="24"/>
      <c r="AU108" s="24"/>
      <c r="AV108" s="24"/>
      <c r="AW108" s="25">
        <f t="shared" si="113"/>
        <v>4.7064899999999965E-2</v>
      </c>
      <c r="AX108" s="24">
        <f t="shared" si="114"/>
        <v>2353245</v>
      </c>
      <c r="AY108" s="24">
        <f t="shared" si="115"/>
        <v>0</v>
      </c>
      <c r="AZ108" s="24">
        <f t="shared" si="115"/>
        <v>0</v>
      </c>
      <c r="BA108" s="24">
        <f t="shared" si="115"/>
        <v>0</v>
      </c>
      <c r="BB108" s="24">
        <f t="shared" si="128"/>
        <v>0</v>
      </c>
      <c r="BC108" s="24">
        <f t="shared" si="128"/>
        <v>0</v>
      </c>
      <c r="BD108" s="24">
        <f t="shared" si="128"/>
        <v>0</v>
      </c>
      <c r="BE108" s="24">
        <f t="shared" si="128"/>
        <v>0</v>
      </c>
      <c r="BF108" s="24">
        <f t="shared" si="128"/>
        <v>0</v>
      </c>
      <c r="BG108" s="24">
        <f t="shared" si="128"/>
        <v>0</v>
      </c>
      <c r="BH108" s="24">
        <f t="shared" si="128"/>
        <v>0</v>
      </c>
      <c r="BI108" s="24">
        <f t="shared" si="128"/>
        <v>0</v>
      </c>
      <c r="BJ108" s="24">
        <f t="shared" si="128"/>
        <v>0</v>
      </c>
      <c r="BK108" s="24">
        <f t="shared" si="128"/>
        <v>0</v>
      </c>
      <c r="BL108" s="24">
        <f t="shared" si="128"/>
        <v>2353245</v>
      </c>
      <c r="BM108" s="24">
        <f t="shared" si="128"/>
        <v>0</v>
      </c>
      <c r="BN108" s="24"/>
      <c r="BO108" s="24"/>
      <c r="BP108" s="24">
        <f t="shared" si="117"/>
        <v>0</v>
      </c>
      <c r="BQ108" s="24">
        <f t="shared" si="129"/>
        <v>0</v>
      </c>
      <c r="BR108" s="25">
        <f t="shared" si="119"/>
        <v>0.95293510000000003</v>
      </c>
      <c r="BS108" s="24">
        <f t="shared" si="120"/>
        <v>47646755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>
        <f>+'[1]OCTUBRE 2016'!$H$1325</f>
        <v>47646755</v>
      </c>
      <c r="CI108" s="24"/>
      <c r="CJ108" s="24"/>
      <c r="CK108" s="24"/>
      <c r="CL108" s="24"/>
      <c r="CM108" s="24"/>
      <c r="CN108" s="25">
        <f t="shared" si="121"/>
        <v>4.7064899999999965E-2</v>
      </c>
      <c r="CO108" s="24">
        <f t="shared" si="122"/>
        <v>2353245</v>
      </c>
      <c r="CP108" s="24">
        <f t="shared" si="123"/>
        <v>0</v>
      </c>
      <c r="CQ108" s="24">
        <f t="shared" si="123"/>
        <v>0</v>
      </c>
      <c r="CR108" s="24">
        <f t="shared" si="123"/>
        <v>0</v>
      </c>
      <c r="CS108" s="24">
        <f t="shared" si="123"/>
        <v>0</v>
      </c>
      <c r="CT108" s="24">
        <f t="shared" si="123"/>
        <v>0</v>
      </c>
      <c r="CU108" s="24">
        <f t="shared" si="123"/>
        <v>0</v>
      </c>
      <c r="CV108" s="24">
        <f t="shared" si="130"/>
        <v>0</v>
      </c>
      <c r="CW108" s="24">
        <f t="shared" si="130"/>
        <v>0</v>
      </c>
      <c r="CX108" s="24">
        <f t="shared" si="123"/>
        <v>0</v>
      </c>
      <c r="CY108" s="24">
        <f t="shared" si="125"/>
        <v>0</v>
      </c>
      <c r="CZ108" s="24">
        <f t="shared" si="125"/>
        <v>0</v>
      </c>
      <c r="DA108" s="24">
        <f t="shared" si="125"/>
        <v>0</v>
      </c>
      <c r="DB108" s="24">
        <f t="shared" si="131"/>
        <v>0</v>
      </c>
      <c r="DC108" s="24">
        <f t="shared" si="131"/>
        <v>2353245</v>
      </c>
      <c r="DD108" s="24">
        <f t="shared" si="131"/>
        <v>0</v>
      </c>
      <c r="DE108" s="24"/>
      <c r="DF108" s="24">
        <f t="shared" si="132"/>
        <v>0</v>
      </c>
      <c r="DG108" s="24">
        <f t="shared" si="132"/>
        <v>0</v>
      </c>
      <c r="DH108" s="24">
        <f t="shared" si="132"/>
        <v>0</v>
      </c>
      <c r="DJ108" s="194"/>
      <c r="DK108" s="194"/>
      <c r="DL108" s="198"/>
      <c r="DM108" s="199"/>
      <c r="DN108" s="200"/>
    </row>
    <row r="109" spans="1:118" ht="23.25" hidden="1" customHeight="1" x14ac:dyDescent="0.25">
      <c r="A109" s="90"/>
      <c r="B109" s="91"/>
      <c r="C109" s="69" t="s">
        <v>306</v>
      </c>
      <c r="D109" s="92" t="s">
        <v>307</v>
      </c>
      <c r="E109" s="22">
        <v>301</v>
      </c>
      <c r="F109" s="93" t="s">
        <v>308</v>
      </c>
      <c r="G109" s="24">
        <f t="shared" si="110"/>
        <v>30000000</v>
      </c>
      <c r="H109" s="72"/>
      <c r="I109" s="72">
        <v>30000000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25">
        <f t="shared" si="111"/>
        <v>1</v>
      </c>
      <c r="AB109" s="24">
        <f t="shared" si="112"/>
        <v>30000000</v>
      </c>
      <c r="AC109" s="72"/>
      <c r="AD109" s="72"/>
      <c r="AE109" s="72">
        <f>+'[1]OCTUBRE 2016'!$M$1347</f>
        <v>30000000</v>
      </c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25">
        <f t="shared" si="113"/>
        <v>0</v>
      </c>
      <c r="AX109" s="24">
        <f t="shared" si="114"/>
        <v>0</v>
      </c>
      <c r="AY109" s="72"/>
      <c r="AZ109" s="24">
        <f>I109-AE109</f>
        <v>0</v>
      </c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25">
        <f t="shared" si="119"/>
        <v>1</v>
      </c>
      <c r="BS109" s="24">
        <f t="shared" si="120"/>
        <v>30000000</v>
      </c>
      <c r="BT109" s="72"/>
      <c r="BU109" s="72"/>
      <c r="BV109" s="72">
        <f>+'[2]DICIEMBRE 2016'!$H$1624</f>
        <v>30000000</v>
      </c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25">
        <f t="shared" si="121"/>
        <v>0</v>
      </c>
      <c r="CO109" s="24">
        <f t="shared" si="122"/>
        <v>0</v>
      </c>
      <c r="CP109" s="72"/>
      <c r="CQ109" s="24">
        <f>I109-BV109</f>
        <v>0</v>
      </c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24"/>
      <c r="DJ109" s="194"/>
      <c r="DK109" s="194"/>
      <c r="DL109" s="198"/>
      <c r="DM109" s="199"/>
      <c r="DN109" s="200"/>
    </row>
    <row r="110" spans="1:118" ht="19.5" hidden="1" customHeight="1" x14ac:dyDescent="0.25">
      <c r="A110" s="90"/>
      <c r="B110" s="91"/>
      <c r="C110" s="69" t="s">
        <v>309</v>
      </c>
      <c r="D110" s="92" t="s">
        <v>310</v>
      </c>
      <c r="E110" s="22">
        <v>301</v>
      </c>
      <c r="F110" s="93" t="s">
        <v>308</v>
      </c>
      <c r="G110" s="24">
        <f t="shared" si="110"/>
        <v>80000000</v>
      </c>
      <c r="H110" s="72"/>
      <c r="I110" s="72">
        <v>80000000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1"/>
        <v>0.70442499999999997</v>
      </c>
      <c r="AB110" s="24">
        <f t="shared" si="112"/>
        <v>56354000</v>
      </c>
      <c r="AC110" s="72"/>
      <c r="AD110" s="72"/>
      <c r="AE110" s="72">
        <f>+'[2]DICIEMBRE 2016'!$M$1635</f>
        <v>56354000</v>
      </c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13"/>
        <v>0.29557500000000003</v>
      </c>
      <c r="AX110" s="24">
        <f t="shared" si="114"/>
        <v>23646000</v>
      </c>
      <c r="AY110" s="72"/>
      <c r="AZ110" s="24">
        <f>I110-AE110</f>
        <v>23646000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19"/>
        <v>0.70442499999999997</v>
      </c>
      <c r="BS110" s="24">
        <f t="shared" si="120"/>
        <v>56354000</v>
      </c>
      <c r="BT110" s="72"/>
      <c r="BU110" s="72"/>
      <c r="BV110" s="72">
        <f>+'[2]DICIEMBRE 2016'!$H$1633</f>
        <v>56354000</v>
      </c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1"/>
        <v>0.29557500000000003</v>
      </c>
      <c r="CO110" s="24">
        <f t="shared" si="122"/>
        <v>23646000</v>
      </c>
      <c r="CP110" s="72"/>
      <c r="CQ110" s="24">
        <f>I110-BV110</f>
        <v>23646000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  <c r="DJ110" s="194"/>
      <c r="DK110" s="194"/>
      <c r="DL110" s="198"/>
      <c r="DM110" s="199"/>
      <c r="DN110" s="200"/>
    </row>
    <row r="111" spans="1:118" ht="30" hidden="1" x14ac:dyDescent="0.25">
      <c r="A111" s="90"/>
      <c r="B111" s="91"/>
      <c r="C111" s="69" t="s">
        <v>311</v>
      </c>
      <c r="D111" s="92" t="s">
        <v>312</v>
      </c>
      <c r="E111" s="22">
        <v>301</v>
      </c>
      <c r="F111" s="93" t="s">
        <v>308</v>
      </c>
      <c r="G111" s="24">
        <f t="shared" si="110"/>
        <v>75000000</v>
      </c>
      <c r="H111" s="72"/>
      <c r="I111" s="72">
        <v>75000000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1"/>
        <v>0.66542773333333338</v>
      </c>
      <c r="AB111" s="24">
        <f t="shared" si="112"/>
        <v>49907080</v>
      </c>
      <c r="AC111" s="72"/>
      <c r="AD111" s="72"/>
      <c r="AE111" s="72">
        <f>+'[4]DICIEMBRE 2016'!$M$1634</f>
        <v>49907080</v>
      </c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13"/>
        <v>0.33457226666666662</v>
      </c>
      <c r="AX111" s="24">
        <f t="shared" si="114"/>
        <v>25092920</v>
      </c>
      <c r="AY111" s="72"/>
      <c r="AZ111" s="24">
        <f>I111-AE111</f>
        <v>25092920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19"/>
        <v>0.66542773333333338</v>
      </c>
      <c r="BS111" s="24">
        <f t="shared" si="120"/>
        <v>49907080</v>
      </c>
      <c r="BT111" s="72"/>
      <c r="BU111" s="72"/>
      <c r="BV111" s="72">
        <f>+'[5]NOVIEMBRE 2016'!$H$1549</f>
        <v>49907080</v>
      </c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1"/>
        <v>0.33457226666666662</v>
      </c>
      <c r="CO111" s="24">
        <f t="shared" si="122"/>
        <v>25092920</v>
      </c>
      <c r="CP111" s="72"/>
      <c r="CQ111" s="24">
        <f>I111-BV111</f>
        <v>25092920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  <c r="DJ111" s="194" t="s">
        <v>412</v>
      </c>
      <c r="DK111" s="194"/>
      <c r="DL111" s="198"/>
      <c r="DM111" s="199"/>
      <c r="DN111" s="200"/>
    </row>
    <row r="112" spans="1:118" s="43" customFormat="1" ht="21" customHeight="1" thickTop="1" thickBot="1" x14ac:dyDescent="0.3">
      <c r="A112" s="73"/>
      <c r="B112" s="292" t="s">
        <v>394</v>
      </c>
      <c r="C112" s="293"/>
      <c r="D112" s="293"/>
      <c r="E112" s="293"/>
      <c r="F112" s="294"/>
      <c r="G112" s="61">
        <f>SUM(G94:G111)</f>
        <v>2969123548</v>
      </c>
      <c r="H112" s="61">
        <f t="shared" ref="H112:Z112" si="133">SUM(H94:H111)</f>
        <v>200000000</v>
      </c>
      <c r="I112" s="61">
        <f t="shared" si="133"/>
        <v>453168096</v>
      </c>
      <c r="J112" s="61">
        <f t="shared" si="133"/>
        <v>0</v>
      </c>
      <c r="K112" s="61">
        <f t="shared" si="133"/>
        <v>701280247</v>
      </c>
      <c r="L112" s="61">
        <f t="shared" si="133"/>
        <v>0</v>
      </c>
      <c r="M112" s="61">
        <f t="shared" si="133"/>
        <v>0</v>
      </c>
      <c r="N112" s="61">
        <f t="shared" si="133"/>
        <v>0</v>
      </c>
      <c r="O112" s="61">
        <f t="shared" si="133"/>
        <v>0</v>
      </c>
      <c r="P112" s="61">
        <f t="shared" si="133"/>
        <v>0</v>
      </c>
      <c r="Q112" s="61">
        <f t="shared" si="133"/>
        <v>0</v>
      </c>
      <c r="R112" s="61">
        <f t="shared" si="133"/>
        <v>0</v>
      </c>
      <c r="S112" s="61">
        <f t="shared" si="133"/>
        <v>0</v>
      </c>
      <c r="T112" s="61">
        <f t="shared" si="133"/>
        <v>0</v>
      </c>
      <c r="U112" s="61">
        <f t="shared" si="133"/>
        <v>245242997</v>
      </c>
      <c r="V112" s="61">
        <f t="shared" si="133"/>
        <v>1262551657</v>
      </c>
      <c r="W112" s="61">
        <f t="shared" si="133"/>
        <v>0</v>
      </c>
      <c r="X112" s="61">
        <f t="shared" si="133"/>
        <v>0</v>
      </c>
      <c r="Y112" s="61">
        <f t="shared" si="133"/>
        <v>0</v>
      </c>
      <c r="Z112" s="61">
        <f t="shared" si="133"/>
        <v>106880551</v>
      </c>
      <c r="AA112" s="159">
        <f t="shared" si="111"/>
        <v>0.92275936238676182</v>
      </c>
      <c r="AB112" s="61">
        <f>SUM(AB94:AB111)</f>
        <v>2739786552</v>
      </c>
      <c r="AC112" s="61"/>
      <c r="AD112" s="61">
        <f t="shared" ref="AD112:AV112" si="134">SUM(AD94:AD111)</f>
        <v>193150942</v>
      </c>
      <c r="AE112" s="61">
        <f t="shared" si="134"/>
        <v>377850665</v>
      </c>
      <c r="AF112" s="61">
        <f t="shared" si="134"/>
        <v>0</v>
      </c>
      <c r="AG112" s="61">
        <f t="shared" si="134"/>
        <v>631775394</v>
      </c>
      <c r="AH112" s="61">
        <f t="shared" si="134"/>
        <v>0</v>
      </c>
      <c r="AI112" s="61">
        <f t="shared" si="134"/>
        <v>0</v>
      </c>
      <c r="AJ112" s="61">
        <f t="shared" si="134"/>
        <v>0</v>
      </c>
      <c r="AK112" s="61">
        <f t="shared" si="134"/>
        <v>0</v>
      </c>
      <c r="AL112" s="61">
        <f t="shared" si="134"/>
        <v>0</v>
      </c>
      <c r="AM112" s="61">
        <f t="shared" si="134"/>
        <v>0</v>
      </c>
      <c r="AN112" s="61">
        <f t="shared" si="134"/>
        <v>0</v>
      </c>
      <c r="AO112" s="61">
        <f t="shared" si="134"/>
        <v>0</v>
      </c>
      <c r="AP112" s="61">
        <f t="shared" si="134"/>
        <v>0</v>
      </c>
      <c r="AQ112" s="61">
        <f t="shared" si="134"/>
        <v>231437005</v>
      </c>
      <c r="AR112" s="61">
        <f t="shared" si="134"/>
        <v>1205496037</v>
      </c>
      <c r="AS112" s="61">
        <f t="shared" si="134"/>
        <v>0</v>
      </c>
      <c r="AT112" s="61">
        <f t="shared" si="134"/>
        <v>0</v>
      </c>
      <c r="AU112" s="61">
        <f t="shared" si="134"/>
        <v>0</v>
      </c>
      <c r="AV112" s="61">
        <f t="shared" si="134"/>
        <v>100076509</v>
      </c>
      <c r="AW112" s="159">
        <f t="shared" si="113"/>
        <v>7.7240637613238183E-2</v>
      </c>
      <c r="AX112" s="61">
        <f>SUM(AX94:AX111)</f>
        <v>229336996</v>
      </c>
      <c r="AY112" s="61">
        <f t="shared" ref="AY112:BQ112" si="135">SUM(AY94:AY111)</f>
        <v>6849058</v>
      </c>
      <c r="AZ112" s="61">
        <f t="shared" si="135"/>
        <v>75317431</v>
      </c>
      <c r="BA112" s="61">
        <f t="shared" si="135"/>
        <v>0</v>
      </c>
      <c r="BB112" s="61">
        <f t="shared" si="135"/>
        <v>69504853</v>
      </c>
      <c r="BC112" s="61">
        <f t="shared" si="135"/>
        <v>0</v>
      </c>
      <c r="BD112" s="61">
        <f t="shared" si="135"/>
        <v>0</v>
      </c>
      <c r="BE112" s="61">
        <f t="shared" si="135"/>
        <v>0</v>
      </c>
      <c r="BF112" s="61">
        <f t="shared" si="135"/>
        <v>0</v>
      </c>
      <c r="BG112" s="61">
        <f t="shared" si="135"/>
        <v>0</v>
      </c>
      <c r="BH112" s="61">
        <f t="shared" si="135"/>
        <v>0</v>
      </c>
      <c r="BI112" s="61">
        <f t="shared" si="135"/>
        <v>0</v>
      </c>
      <c r="BJ112" s="61">
        <f t="shared" si="135"/>
        <v>0</v>
      </c>
      <c r="BK112" s="61">
        <f t="shared" si="135"/>
        <v>0</v>
      </c>
      <c r="BL112" s="61">
        <f t="shared" si="135"/>
        <v>13805992</v>
      </c>
      <c r="BM112" s="61">
        <f t="shared" si="135"/>
        <v>57055620</v>
      </c>
      <c r="BN112" s="61">
        <f t="shared" si="135"/>
        <v>0</v>
      </c>
      <c r="BO112" s="61">
        <f t="shared" si="135"/>
        <v>0</v>
      </c>
      <c r="BP112" s="61">
        <f t="shared" si="135"/>
        <v>0</v>
      </c>
      <c r="BQ112" s="61">
        <f t="shared" si="135"/>
        <v>6804042</v>
      </c>
      <c r="BR112" s="39">
        <f t="shared" si="119"/>
        <v>0.92275936238676182</v>
      </c>
      <c r="BS112" s="61">
        <f>SUM(BS94:BS111)</f>
        <v>2739786552</v>
      </c>
      <c r="BT112" s="61">
        <f>SUM(BT94:BT108)</f>
        <v>0</v>
      </c>
      <c r="BU112" s="61">
        <f t="shared" ref="BU112:CM112" si="136">SUM(BU94:BU111)</f>
        <v>193150942</v>
      </c>
      <c r="BV112" s="61">
        <f t="shared" si="136"/>
        <v>377850665</v>
      </c>
      <c r="BW112" s="61">
        <f t="shared" si="136"/>
        <v>0</v>
      </c>
      <c r="BX112" s="61">
        <f t="shared" si="136"/>
        <v>631775394</v>
      </c>
      <c r="BY112" s="61">
        <f t="shared" si="136"/>
        <v>0</v>
      </c>
      <c r="BZ112" s="61">
        <f t="shared" si="136"/>
        <v>0</v>
      </c>
      <c r="CA112" s="61">
        <f t="shared" si="136"/>
        <v>0</v>
      </c>
      <c r="CB112" s="61">
        <f t="shared" si="136"/>
        <v>0</v>
      </c>
      <c r="CC112" s="61">
        <f t="shared" si="136"/>
        <v>0</v>
      </c>
      <c r="CD112" s="61">
        <f t="shared" si="136"/>
        <v>0</v>
      </c>
      <c r="CE112" s="61">
        <f t="shared" si="136"/>
        <v>0</v>
      </c>
      <c r="CF112" s="61">
        <f t="shared" si="136"/>
        <v>0</v>
      </c>
      <c r="CG112" s="61">
        <f t="shared" si="136"/>
        <v>0</v>
      </c>
      <c r="CH112" s="61">
        <f t="shared" si="136"/>
        <v>231437005</v>
      </c>
      <c r="CI112" s="61">
        <f t="shared" si="136"/>
        <v>1205496037</v>
      </c>
      <c r="CJ112" s="61">
        <f t="shared" si="136"/>
        <v>0</v>
      </c>
      <c r="CK112" s="61">
        <f t="shared" si="136"/>
        <v>0</v>
      </c>
      <c r="CL112" s="61">
        <f t="shared" si="136"/>
        <v>0</v>
      </c>
      <c r="CM112" s="61">
        <f t="shared" si="136"/>
        <v>100076509</v>
      </c>
      <c r="CN112" s="39">
        <f t="shared" si="121"/>
        <v>7.7240637613238183E-2</v>
      </c>
      <c r="CO112" s="61">
        <f>SUM(CO94:CO111)</f>
        <v>229336996</v>
      </c>
      <c r="CP112" s="61">
        <f t="shared" ref="CP112:DH112" si="137">SUM(CP94:CP111)</f>
        <v>6849058</v>
      </c>
      <c r="CQ112" s="61">
        <f t="shared" si="137"/>
        <v>75317431</v>
      </c>
      <c r="CR112" s="61">
        <f t="shared" si="137"/>
        <v>0</v>
      </c>
      <c r="CS112" s="61">
        <f t="shared" si="137"/>
        <v>69504853</v>
      </c>
      <c r="CT112" s="61">
        <f t="shared" si="137"/>
        <v>0</v>
      </c>
      <c r="CU112" s="61">
        <f t="shared" si="137"/>
        <v>0</v>
      </c>
      <c r="CV112" s="61">
        <f t="shared" si="137"/>
        <v>0</v>
      </c>
      <c r="CW112" s="61">
        <f t="shared" si="137"/>
        <v>0</v>
      </c>
      <c r="CX112" s="61">
        <f t="shared" si="137"/>
        <v>0</v>
      </c>
      <c r="CY112" s="61">
        <f t="shared" si="137"/>
        <v>0</v>
      </c>
      <c r="CZ112" s="61">
        <f t="shared" si="137"/>
        <v>0</v>
      </c>
      <c r="DA112" s="61">
        <f t="shared" si="137"/>
        <v>0</v>
      </c>
      <c r="DB112" s="61">
        <f t="shared" si="137"/>
        <v>0</v>
      </c>
      <c r="DC112" s="61">
        <f t="shared" si="137"/>
        <v>13805992</v>
      </c>
      <c r="DD112" s="61">
        <f t="shared" si="137"/>
        <v>57055620</v>
      </c>
      <c r="DE112" s="61">
        <f t="shared" si="137"/>
        <v>0</v>
      </c>
      <c r="DF112" s="61">
        <f t="shared" si="137"/>
        <v>0</v>
      </c>
      <c r="DG112" s="61">
        <f t="shared" si="137"/>
        <v>0</v>
      </c>
      <c r="DH112" s="61">
        <f t="shared" si="137"/>
        <v>6804042</v>
      </c>
      <c r="DJ112" s="194" t="s">
        <v>412</v>
      </c>
      <c r="DK112" s="194"/>
      <c r="DL112" s="198">
        <v>2969123548</v>
      </c>
      <c r="DM112" s="199">
        <v>2739786552</v>
      </c>
      <c r="DN112" s="200">
        <v>0.92279999999999995</v>
      </c>
    </row>
    <row r="113" spans="1:118" ht="51" hidden="1" customHeight="1" thickTop="1" x14ac:dyDescent="0.25">
      <c r="A113" s="249" t="s">
        <v>314</v>
      </c>
      <c r="B113" s="245" t="s">
        <v>315</v>
      </c>
      <c r="C113" s="69" t="s">
        <v>316</v>
      </c>
      <c r="D113" s="21" t="s">
        <v>317</v>
      </c>
      <c r="E113" s="94">
        <v>111</v>
      </c>
      <c r="F113" s="23" t="s">
        <v>318</v>
      </c>
      <c r="G113" s="24">
        <f t="shared" ref="G113:G131" si="138">SUM(H113:Z113)</f>
        <v>2447865779</v>
      </c>
      <c r="H113" s="24"/>
      <c r="I113" s="24">
        <f>2264025000-228708462+125000000</f>
        <v>2160316538</v>
      </c>
      <c r="J113" s="24">
        <f>72450095-52147109</f>
        <v>20302986</v>
      </c>
      <c r="K113" s="24"/>
      <c r="L113" s="24"/>
      <c r="M113" s="24">
        <f>54387</f>
        <v>54387</v>
      </c>
      <c r="N113" s="24">
        <f>30665828</f>
        <v>30665828</v>
      </c>
      <c r="O113" s="24">
        <f>1940856</f>
        <v>1940856</v>
      </c>
      <c r="P113" s="24"/>
      <c r="Q113" s="54">
        <f>60000000+100000000</f>
        <v>160000000</v>
      </c>
      <c r="R113" s="24"/>
      <c r="S113" s="24"/>
      <c r="T113" s="24"/>
      <c r="U113" s="24"/>
      <c r="V113" s="24"/>
      <c r="W113" s="24"/>
      <c r="X113" s="24"/>
      <c r="Y113" s="24"/>
      <c r="Z113" s="24">
        <f>28000000+784585184-485000000-9000000-16000000-228000000</f>
        <v>74585184</v>
      </c>
      <c r="AA113" s="25">
        <f t="shared" si="111"/>
        <v>0.87028579314928201</v>
      </c>
      <c r="AB113" s="24">
        <f t="shared" ref="AB113:AB131" si="139">SUM(AC113:AV113)</f>
        <v>2130342811</v>
      </c>
      <c r="AC113" s="24"/>
      <c r="AD113" s="24"/>
      <c r="AE113" s="24">
        <f>+'[4]DICIEMBRE 2016'!$M$18</f>
        <v>2128663595</v>
      </c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>
        <f>+'[2]DICIEMBRE 2016'!$AG$18</f>
        <v>1679216</v>
      </c>
      <c r="AW113" s="25">
        <f t="shared" si="113"/>
        <v>0.12971420685071799</v>
      </c>
      <c r="AX113" s="24">
        <f t="shared" ref="AX113:AX131" si="140">SUM(AY113:BQ113)</f>
        <v>317522968</v>
      </c>
      <c r="AY113" s="24">
        <f t="shared" ref="AY113:BM124" si="141">H113-AD113</f>
        <v>0</v>
      </c>
      <c r="AZ113" s="24">
        <f t="shared" si="141"/>
        <v>31652943</v>
      </c>
      <c r="BA113" s="24">
        <f t="shared" si="141"/>
        <v>20302986</v>
      </c>
      <c r="BB113" s="24">
        <f t="shared" ref="BB113:BM123" si="142">+K113-AG113</f>
        <v>0</v>
      </c>
      <c r="BC113" s="24">
        <f t="shared" si="142"/>
        <v>0</v>
      </c>
      <c r="BD113" s="24">
        <f t="shared" si="142"/>
        <v>54387</v>
      </c>
      <c r="BE113" s="24">
        <f t="shared" si="142"/>
        <v>30665828</v>
      </c>
      <c r="BF113" s="24">
        <f t="shared" si="142"/>
        <v>1940856</v>
      </c>
      <c r="BG113" s="24">
        <f t="shared" si="142"/>
        <v>0</v>
      </c>
      <c r="BH113" s="24">
        <f t="shared" si="142"/>
        <v>160000000</v>
      </c>
      <c r="BI113" s="24">
        <f t="shared" si="142"/>
        <v>0</v>
      </c>
      <c r="BJ113" s="24">
        <f t="shared" si="142"/>
        <v>0</v>
      </c>
      <c r="BK113" s="24">
        <f t="shared" si="142"/>
        <v>0</v>
      </c>
      <c r="BL113" s="24">
        <f t="shared" si="142"/>
        <v>0</v>
      </c>
      <c r="BM113" s="24">
        <f t="shared" si="142"/>
        <v>0</v>
      </c>
      <c r="BN113" s="24"/>
      <c r="BO113" s="24"/>
      <c r="BP113" s="24">
        <f t="shared" ref="BP113:BP124" si="143">Y113-AU113</f>
        <v>0</v>
      </c>
      <c r="BQ113" s="24">
        <f t="shared" ref="BQ113:BQ123" si="144">+Z113-AV113</f>
        <v>72905968</v>
      </c>
      <c r="BR113" s="25">
        <f t="shared" si="119"/>
        <v>0.87028579314928201</v>
      </c>
      <c r="BS113" s="24">
        <f t="shared" ref="BS113:BS131" si="145">SUM(BT113:CM113)</f>
        <v>2130342811</v>
      </c>
      <c r="BT113" s="24"/>
      <c r="BU113" s="24"/>
      <c r="BV113" s="24">
        <f>+'[4]DICIEMBRE 2016'!$M$18</f>
        <v>2128663595</v>
      </c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>
        <f>+'[9]AGOSTO 2016'!$H$29</f>
        <v>1679216</v>
      </c>
      <c r="CN113" s="25">
        <f t="shared" si="121"/>
        <v>0.12971420685071799</v>
      </c>
      <c r="CO113" s="24">
        <f t="shared" ref="CO113:CO131" si="146">SUM(CP113:DH113)</f>
        <v>317522968</v>
      </c>
      <c r="CP113" s="24">
        <f t="shared" ref="CP113:CU124" si="147">H113-BU113</f>
        <v>0</v>
      </c>
      <c r="CQ113" s="24">
        <f t="shared" si="147"/>
        <v>31652943</v>
      </c>
      <c r="CR113" s="24">
        <f t="shared" si="147"/>
        <v>20302986</v>
      </c>
      <c r="CS113" s="24">
        <f t="shared" si="147"/>
        <v>0</v>
      </c>
      <c r="CT113" s="24">
        <f t="shared" si="147"/>
        <v>0</v>
      </c>
      <c r="CU113" s="24">
        <f t="shared" si="147"/>
        <v>54387</v>
      </c>
      <c r="CV113" s="24">
        <f t="shared" ref="CV113:CX123" si="148">+N113-CA113</f>
        <v>30665828</v>
      </c>
      <c r="CW113" s="24">
        <f t="shared" si="148"/>
        <v>1940856</v>
      </c>
      <c r="CX113" s="24">
        <f t="shared" si="148"/>
        <v>0</v>
      </c>
      <c r="CY113" s="24">
        <f t="shared" ref="CY113:DA124" si="149">Q113-CD113</f>
        <v>160000000</v>
      </c>
      <c r="CZ113" s="24">
        <f t="shared" si="149"/>
        <v>0</v>
      </c>
      <c r="DA113" s="24">
        <f t="shared" si="149"/>
        <v>0</v>
      </c>
      <c r="DB113" s="24">
        <f t="shared" ref="DB113:DD123" si="150">+T113-CG113</f>
        <v>0</v>
      </c>
      <c r="DC113" s="24">
        <f t="shared" si="150"/>
        <v>0</v>
      </c>
      <c r="DD113" s="24">
        <f t="shared" si="150"/>
        <v>0</v>
      </c>
      <c r="DE113" s="24"/>
      <c r="DF113" s="24">
        <f t="shared" ref="DF113:DH123" si="151">+X113-CK113</f>
        <v>0</v>
      </c>
      <c r="DG113" s="24">
        <f t="shared" si="151"/>
        <v>0</v>
      </c>
      <c r="DH113" s="24">
        <f t="shared" si="151"/>
        <v>72905968</v>
      </c>
      <c r="DJ113" s="194"/>
      <c r="DK113" s="194"/>
      <c r="DL113" s="198"/>
      <c r="DM113" s="199"/>
      <c r="DN113" s="200"/>
    </row>
    <row r="114" spans="1:118" s="58" customFormat="1" ht="36" hidden="1" customHeight="1" x14ac:dyDescent="0.25">
      <c r="A114" s="246"/>
      <c r="B114" s="240"/>
      <c r="C114" s="55" t="s">
        <v>319</v>
      </c>
      <c r="D114" s="21" t="s">
        <v>320</v>
      </c>
      <c r="E114" s="89">
        <v>111</v>
      </c>
      <c r="F114" s="23" t="s">
        <v>321</v>
      </c>
      <c r="G114" s="24">
        <f t="shared" si="138"/>
        <v>2244924802</v>
      </c>
      <c r="H114" s="54"/>
      <c r="I114" s="24">
        <f>982978733+1062351800+50000000-125000000</f>
        <v>1970330533</v>
      </c>
      <c r="J114" s="54">
        <v>39062301</v>
      </c>
      <c r="K114" s="54"/>
      <c r="L114" s="54"/>
      <c r="M114" s="54"/>
      <c r="N114" s="54"/>
      <c r="O114" s="54"/>
      <c r="P114" s="54">
        <f>3438802</f>
        <v>3438802</v>
      </c>
      <c r="Q114" s="54">
        <f>50000000</f>
        <v>50000000</v>
      </c>
      <c r="R114" s="54"/>
      <c r="S114" s="54"/>
      <c r="T114" s="54"/>
      <c r="U114" s="54"/>
      <c r="V114" s="54"/>
      <c r="W114" s="54"/>
      <c r="X114" s="54"/>
      <c r="Y114" s="54"/>
      <c r="Z114" s="54">
        <f>12000000+1000000+2897715+16000000+3195451+27000000+120000000</f>
        <v>182093166</v>
      </c>
      <c r="AA114" s="57">
        <f t="shared" si="111"/>
        <v>0.68797791027300526</v>
      </c>
      <c r="AB114" s="24">
        <f t="shared" si="139"/>
        <v>1544458674</v>
      </c>
      <c r="AC114" s="54"/>
      <c r="AD114" s="54"/>
      <c r="AE114" s="54">
        <f>+'[4]DICIEMBRE 2016'!$M$44</f>
        <v>1325950029</v>
      </c>
      <c r="AF114" s="54">
        <f>+'[5]NOVIEMBRE 2016'!$N$43</f>
        <v>38948568</v>
      </c>
      <c r="AG114" s="54"/>
      <c r="AH114" s="54"/>
      <c r="AI114" s="54"/>
      <c r="AJ114" s="54"/>
      <c r="AK114" s="54"/>
      <c r="AL114" s="54">
        <f>+'[5]NOVIEMBRE 2016'!$T$43</f>
        <v>3438802</v>
      </c>
      <c r="AM114" s="24">
        <f>+'[4]DICIEMBRE 2016'!$U$44</f>
        <v>49852012</v>
      </c>
      <c r="AN114" s="54"/>
      <c r="AO114" s="54"/>
      <c r="AP114" s="54"/>
      <c r="AQ114" s="54"/>
      <c r="AR114" s="54"/>
      <c r="AS114" s="54"/>
      <c r="AT114" s="54"/>
      <c r="AU114" s="54"/>
      <c r="AV114" s="54">
        <f>+'[4]DICIEMBRE 2016'!$AG$44</f>
        <v>126269263</v>
      </c>
      <c r="AW114" s="57">
        <f t="shared" si="113"/>
        <v>0.31202208972699474</v>
      </c>
      <c r="AX114" s="24">
        <f t="shared" si="140"/>
        <v>700466128</v>
      </c>
      <c r="AY114" s="54">
        <f t="shared" si="141"/>
        <v>0</v>
      </c>
      <c r="AZ114" s="54">
        <f t="shared" si="141"/>
        <v>644380504</v>
      </c>
      <c r="BA114" s="54">
        <f t="shared" si="141"/>
        <v>113733</v>
      </c>
      <c r="BB114" s="54">
        <f t="shared" si="142"/>
        <v>0</v>
      </c>
      <c r="BC114" s="54">
        <f t="shared" si="142"/>
        <v>0</v>
      </c>
      <c r="BD114" s="24">
        <f t="shared" si="142"/>
        <v>0</v>
      </c>
      <c r="BE114" s="54">
        <f t="shared" si="142"/>
        <v>0</v>
      </c>
      <c r="BF114" s="54">
        <f t="shared" si="142"/>
        <v>0</v>
      </c>
      <c r="BG114" s="54">
        <f t="shared" si="142"/>
        <v>0</v>
      </c>
      <c r="BH114" s="54">
        <f t="shared" si="142"/>
        <v>147988</v>
      </c>
      <c r="BI114" s="54">
        <f t="shared" si="142"/>
        <v>0</v>
      </c>
      <c r="BJ114" s="54">
        <f t="shared" si="142"/>
        <v>0</v>
      </c>
      <c r="BK114" s="54">
        <f t="shared" si="142"/>
        <v>0</v>
      </c>
      <c r="BL114" s="54">
        <f t="shared" si="142"/>
        <v>0</v>
      </c>
      <c r="BM114" s="54">
        <f t="shared" si="142"/>
        <v>0</v>
      </c>
      <c r="BN114" s="54"/>
      <c r="BO114" s="54"/>
      <c r="BP114" s="24">
        <f t="shared" si="143"/>
        <v>0</v>
      </c>
      <c r="BQ114" s="54">
        <f t="shared" si="144"/>
        <v>55823903</v>
      </c>
      <c r="BR114" s="57">
        <f t="shared" si="119"/>
        <v>0.68797791027300526</v>
      </c>
      <c r="BS114" s="24">
        <f t="shared" si="145"/>
        <v>1544458674</v>
      </c>
      <c r="BT114" s="54"/>
      <c r="BU114" s="54"/>
      <c r="BV114" s="54">
        <f>+'[4]DICIEMBRE 2016'!$M$44</f>
        <v>1325950029</v>
      </c>
      <c r="BW114" s="54">
        <f>+'[2]DICIEMBRE 2016'!$H$71+'[2]DICIEMBRE 2016'!$N$84+'[2]DICIEMBRE 2016'!$H$125</f>
        <v>38948568</v>
      </c>
      <c r="BX114" s="54"/>
      <c r="BY114" s="54"/>
      <c r="BZ114" s="54"/>
      <c r="CA114" s="54"/>
      <c r="CB114" s="54"/>
      <c r="CC114" s="54">
        <f>+'[2]DICIEMBRE 2016'!$H$123+'[2]DICIEMBRE 2016'!$H$95</f>
        <v>3438802</v>
      </c>
      <c r="CD114" s="54">
        <f>+'[4]DICIEMBRE 2016'!$U$44</f>
        <v>49852012</v>
      </c>
      <c r="CE114" s="54"/>
      <c r="CF114" s="54"/>
      <c r="CG114" s="54"/>
      <c r="CH114" s="54"/>
      <c r="CI114" s="54"/>
      <c r="CJ114" s="54"/>
      <c r="CK114" s="54"/>
      <c r="CL114" s="54"/>
      <c r="CM114" s="54">
        <f>+'[4]DICIEMBRE 2016'!$AG$44</f>
        <v>126269263</v>
      </c>
      <c r="CN114" s="57">
        <f t="shared" si="121"/>
        <v>0.31202208972699474</v>
      </c>
      <c r="CO114" s="24">
        <f t="shared" si="146"/>
        <v>700466128</v>
      </c>
      <c r="CP114" s="24">
        <f t="shared" si="147"/>
        <v>0</v>
      </c>
      <c r="CQ114" s="54">
        <f t="shared" si="147"/>
        <v>644380504</v>
      </c>
      <c r="CR114" s="54">
        <f t="shared" si="147"/>
        <v>113733</v>
      </c>
      <c r="CS114" s="54">
        <f t="shared" si="147"/>
        <v>0</v>
      </c>
      <c r="CT114" s="54">
        <f t="shared" si="147"/>
        <v>0</v>
      </c>
      <c r="CU114" s="24">
        <f t="shared" si="147"/>
        <v>0</v>
      </c>
      <c r="CV114" s="54">
        <f t="shared" si="148"/>
        <v>0</v>
      </c>
      <c r="CW114" s="54">
        <f t="shared" si="148"/>
        <v>0</v>
      </c>
      <c r="CX114" s="24">
        <f t="shared" si="148"/>
        <v>0</v>
      </c>
      <c r="CY114" s="54">
        <f t="shared" si="149"/>
        <v>147988</v>
      </c>
      <c r="CZ114" s="54">
        <f t="shared" si="149"/>
        <v>0</v>
      </c>
      <c r="DA114" s="54">
        <f t="shared" si="149"/>
        <v>0</v>
      </c>
      <c r="DB114" s="54">
        <f t="shared" si="150"/>
        <v>0</v>
      </c>
      <c r="DC114" s="54">
        <f t="shared" si="150"/>
        <v>0</v>
      </c>
      <c r="DD114" s="54">
        <f t="shared" si="150"/>
        <v>0</v>
      </c>
      <c r="DE114" s="54"/>
      <c r="DF114" s="54">
        <f t="shared" si="151"/>
        <v>0</v>
      </c>
      <c r="DG114" s="24">
        <f t="shared" si="151"/>
        <v>0</v>
      </c>
      <c r="DH114" s="54">
        <f t="shared" si="151"/>
        <v>55823903</v>
      </c>
      <c r="DJ114" s="194"/>
      <c r="DK114" s="194"/>
      <c r="DL114" s="198"/>
      <c r="DM114" s="199"/>
      <c r="DN114" s="200"/>
    </row>
    <row r="115" spans="1:118" ht="21" hidden="1" customHeight="1" x14ac:dyDescent="0.25">
      <c r="A115" s="246"/>
      <c r="B115" s="241"/>
      <c r="C115" s="69" t="s">
        <v>322</v>
      </c>
      <c r="D115" s="21" t="s">
        <v>323</v>
      </c>
      <c r="E115" s="94">
        <v>111</v>
      </c>
      <c r="F115" s="23" t="s">
        <v>324</v>
      </c>
      <c r="G115" s="24">
        <f t="shared" si="138"/>
        <v>152147109</v>
      </c>
      <c r="H115" s="24"/>
      <c r="I115" s="24"/>
      <c r="J115" s="24">
        <f>59490931+52147109</f>
        <v>111638040</v>
      </c>
      <c r="K115" s="24"/>
      <c r="L115" s="24"/>
      <c r="M115" s="24"/>
      <c r="N115" s="24"/>
      <c r="O115" s="24"/>
      <c r="P115" s="24"/>
      <c r="Q115" s="54">
        <f>140509069-100000000</f>
        <v>40509069</v>
      </c>
      <c r="R115" s="24"/>
      <c r="S115" s="24"/>
      <c r="T115" s="24"/>
      <c r="U115" s="24"/>
      <c r="V115" s="24"/>
      <c r="W115" s="24"/>
      <c r="X115" s="24"/>
      <c r="Y115" s="24"/>
      <c r="Z115" s="24"/>
      <c r="AA115" s="25">
        <f t="shared" si="111"/>
        <v>0.95448433397443</v>
      </c>
      <c r="AB115" s="24">
        <f t="shared" si="139"/>
        <v>145222032</v>
      </c>
      <c r="AC115" s="24"/>
      <c r="AD115" s="24"/>
      <c r="AE115" s="24"/>
      <c r="AF115" s="24">
        <f>+'[5]NOVIEMBRE 2016'!$N$127</f>
        <v>110222032</v>
      </c>
      <c r="AG115" s="24"/>
      <c r="AH115" s="24"/>
      <c r="AI115" s="24"/>
      <c r="AJ115" s="24"/>
      <c r="AK115" s="24"/>
      <c r="AL115" s="24"/>
      <c r="AM115" s="24">
        <f>+'[1]OCTUBRE 2016'!$U$104</f>
        <v>35000000</v>
      </c>
      <c r="AN115" s="24"/>
      <c r="AO115" s="24"/>
      <c r="AP115" s="24"/>
      <c r="AQ115" s="24"/>
      <c r="AR115" s="24"/>
      <c r="AS115" s="24"/>
      <c r="AT115" s="24"/>
      <c r="AU115" s="24"/>
      <c r="AV115" s="24"/>
      <c r="AW115" s="25">
        <f t="shared" si="113"/>
        <v>4.5515666025570001E-2</v>
      </c>
      <c r="AX115" s="24">
        <f t="shared" si="140"/>
        <v>6925077</v>
      </c>
      <c r="AY115" s="24">
        <f t="shared" si="141"/>
        <v>0</v>
      </c>
      <c r="AZ115" s="24">
        <f t="shared" si="141"/>
        <v>0</v>
      </c>
      <c r="BA115" s="24">
        <f t="shared" si="141"/>
        <v>1416008</v>
      </c>
      <c r="BB115" s="24">
        <f t="shared" si="142"/>
        <v>0</v>
      </c>
      <c r="BC115" s="24">
        <f t="shared" si="142"/>
        <v>0</v>
      </c>
      <c r="BD115" s="24">
        <f t="shared" si="142"/>
        <v>0</v>
      </c>
      <c r="BE115" s="24">
        <f t="shared" si="142"/>
        <v>0</v>
      </c>
      <c r="BF115" s="24">
        <f t="shared" si="142"/>
        <v>0</v>
      </c>
      <c r="BG115" s="24">
        <f t="shared" si="142"/>
        <v>0</v>
      </c>
      <c r="BH115" s="24">
        <f t="shared" si="142"/>
        <v>5509069</v>
      </c>
      <c r="BI115" s="24">
        <f t="shared" si="142"/>
        <v>0</v>
      </c>
      <c r="BJ115" s="24">
        <f t="shared" si="142"/>
        <v>0</v>
      </c>
      <c r="BK115" s="24">
        <f t="shared" si="142"/>
        <v>0</v>
      </c>
      <c r="BL115" s="24">
        <f t="shared" si="142"/>
        <v>0</v>
      </c>
      <c r="BM115" s="24">
        <f t="shared" si="142"/>
        <v>0</v>
      </c>
      <c r="BN115" s="24"/>
      <c r="BO115" s="24"/>
      <c r="BP115" s="24">
        <f t="shared" si="143"/>
        <v>0</v>
      </c>
      <c r="BQ115" s="24">
        <f t="shared" si="144"/>
        <v>0</v>
      </c>
      <c r="BR115" s="25">
        <f t="shared" si="119"/>
        <v>0.95448433397443</v>
      </c>
      <c r="BS115" s="24">
        <f t="shared" si="145"/>
        <v>145222032</v>
      </c>
      <c r="BT115" s="24"/>
      <c r="BU115" s="24"/>
      <c r="BV115" s="24"/>
      <c r="BW115" s="24">
        <f>'[1]OCTUBRE 2016'!$H$105+'[1]OCTUBRE 2016'!$H$109+'[1]OCTUBRE 2016'!$H$111</f>
        <v>110222032</v>
      </c>
      <c r="BX115" s="24"/>
      <c r="BY115" s="24"/>
      <c r="BZ115" s="24"/>
      <c r="CA115" s="24"/>
      <c r="CB115" s="24"/>
      <c r="CC115" s="24"/>
      <c r="CD115" s="24">
        <f>'[1]OCTUBRE 2016'!$U$107+'[1]OCTUBRE 2016'!$U$113</f>
        <v>35000000</v>
      </c>
      <c r="CE115" s="24"/>
      <c r="CF115" s="24"/>
      <c r="CG115" s="24"/>
      <c r="CH115" s="24"/>
      <c r="CI115" s="24"/>
      <c r="CJ115" s="24"/>
      <c r="CK115" s="24"/>
      <c r="CL115" s="24"/>
      <c r="CM115" s="24"/>
      <c r="CN115" s="25">
        <f t="shared" si="121"/>
        <v>4.5515666025570001E-2</v>
      </c>
      <c r="CO115" s="24">
        <f t="shared" si="146"/>
        <v>6925077</v>
      </c>
      <c r="CP115" s="24">
        <f t="shared" si="147"/>
        <v>0</v>
      </c>
      <c r="CQ115" s="24">
        <f t="shared" si="147"/>
        <v>0</v>
      </c>
      <c r="CR115" s="24">
        <f t="shared" si="147"/>
        <v>1416008</v>
      </c>
      <c r="CS115" s="24">
        <f t="shared" si="147"/>
        <v>0</v>
      </c>
      <c r="CT115" s="24">
        <f t="shared" si="147"/>
        <v>0</v>
      </c>
      <c r="CU115" s="24">
        <f t="shared" si="147"/>
        <v>0</v>
      </c>
      <c r="CV115" s="24">
        <f t="shared" si="148"/>
        <v>0</v>
      </c>
      <c r="CW115" s="24">
        <f t="shared" si="148"/>
        <v>0</v>
      </c>
      <c r="CX115" s="24">
        <f t="shared" si="148"/>
        <v>0</v>
      </c>
      <c r="CY115" s="24">
        <f t="shared" si="149"/>
        <v>5509069</v>
      </c>
      <c r="CZ115" s="24">
        <f t="shared" si="149"/>
        <v>0</v>
      </c>
      <c r="DA115" s="24">
        <f t="shared" si="149"/>
        <v>0</v>
      </c>
      <c r="DB115" s="24">
        <f t="shared" si="150"/>
        <v>0</v>
      </c>
      <c r="DC115" s="24">
        <f t="shared" si="150"/>
        <v>0</v>
      </c>
      <c r="DD115" s="24">
        <f t="shared" si="150"/>
        <v>0</v>
      </c>
      <c r="DE115" s="24"/>
      <c r="DF115" s="24">
        <f t="shared" si="151"/>
        <v>0</v>
      </c>
      <c r="DG115" s="24">
        <f t="shared" si="151"/>
        <v>0</v>
      </c>
      <c r="DH115" s="24">
        <f t="shared" si="151"/>
        <v>0</v>
      </c>
      <c r="DI115" s="43"/>
      <c r="DJ115" s="194"/>
      <c r="DK115" s="194"/>
      <c r="DL115" s="198"/>
      <c r="DM115" s="199"/>
      <c r="DN115" s="200"/>
    </row>
    <row r="116" spans="1:118" ht="35.25" hidden="1" customHeight="1" x14ac:dyDescent="0.25">
      <c r="A116" s="246"/>
      <c r="B116" s="239" t="s">
        <v>325</v>
      </c>
      <c r="C116" s="69" t="s">
        <v>326</v>
      </c>
      <c r="D116" s="21" t="s">
        <v>327</v>
      </c>
      <c r="E116" s="94">
        <v>211</v>
      </c>
      <c r="F116" s="23" t="s">
        <v>328</v>
      </c>
      <c r="G116" s="24">
        <f t="shared" si="138"/>
        <v>2183563386</v>
      </c>
      <c r="H116" s="24"/>
      <c r="I116" s="24">
        <f>2300000000-500000000+260540160-68986271</f>
        <v>1991553889</v>
      </c>
      <c r="J116" s="24"/>
      <c r="K116" s="24"/>
      <c r="L116" s="24"/>
      <c r="M116" s="24"/>
      <c r="N116" s="24"/>
      <c r="O116" s="24"/>
      <c r="P116" s="24"/>
      <c r="Q116" s="24">
        <f>70000000</f>
        <v>70000000</v>
      </c>
      <c r="R116" s="24"/>
      <c r="S116" s="24">
        <v>112130000</v>
      </c>
      <c r="T116" s="24"/>
      <c r="U116" s="24"/>
      <c r="V116" s="24"/>
      <c r="W116" s="24"/>
      <c r="X116" s="24"/>
      <c r="Y116" s="24"/>
      <c r="Z116" s="24">
        <f>9879497</f>
        <v>9879497</v>
      </c>
      <c r="AA116" s="25">
        <f t="shared" si="111"/>
        <v>0.73433779769377394</v>
      </c>
      <c r="AB116" s="24">
        <f t="shared" si="139"/>
        <v>1603473128</v>
      </c>
      <c r="AC116" s="24"/>
      <c r="AD116" s="24"/>
      <c r="AE116" s="24">
        <f>+'[4]DICIEMBRE 2016'!$M$165</f>
        <v>1413185808</v>
      </c>
      <c r="AF116" s="24"/>
      <c r="AG116" s="24"/>
      <c r="AH116" s="24"/>
      <c r="AI116" s="24"/>
      <c r="AJ116" s="24"/>
      <c r="AK116" s="24"/>
      <c r="AL116" s="24"/>
      <c r="AM116" s="24">
        <f>+'[7]MAYO 2016'!$U$75</f>
        <v>70000000</v>
      </c>
      <c r="AN116" s="24"/>
      <c r="AO116" s="24">
        <f>+'[2]DICIEMBRE 2016'!$W$161</f>
        <v>110421200</v>
      </c>
      <c r="AP116" s="24"/>
      <c r="AQ116" s="24"/>
      <c r="AR116" s="24"/>
      <c r="AS116" s="24"/>
      <c r="AT116" s="24"/>
      <c r="AU116" s="24"/>
      <c r="AV116" s="24">
        <f>+'[7]MAYO 2016'!$AG$75</f>
        <v>9866120</v>
      </c>
      <c r="AW116" s="25">
        <f t="shared" si="113"/>
        <v>0.26566220230622606</v>
      </c>
      <c r="AX116" s="24">
        <f t="shared" si="140"/>
        <v>580090258</v>
      </c>
      <c r="AY116" s="24">
        <f t="shared" si="141"/>
        <v>0</v>
      </c>
      <c r="AZ116" s="24">
        <f t="shared" si="141"/>
        <v>578368081</v>
      </c>
      <c r="BA116" s="24">
        <f t="shared" si="141"/>
        <v>0</v>
      </c>
      <c r="BB116" s="24">
        <f t="shared" si="142"/>
        <v>0</v>
      </c>
      <c r="BC116" s="24">
        <f t="shared" si="142"/>
        <v>0</v>
      </c>
      <c r="BD116" s="24">
        <f t="shared" si="142"/>
        <v>0</v>
      </c>
      <c r="BE116" s="24">
        <f t="shared" si="142"/>
        <v>0</v>
      </c>
      <c r="BF116" s="24">
        <f t="shared" si="142"/>
        <v>0</v>
      </c>
      <c r="BG116" s="24">
        <f t="shared" si="142"/>
        <v>0</v>
      </c>
      <c r="BH116" s="24">
        <f t="shared" si="142"/>
        <v>0</v>
      </c>
      <c r="BI116" s="24">
        <f t="shared" si="142"/>
        <v>0</v>
      </c>
      <c r="BJ116" s="24">
        <f t="shared" si="142"/>
        <v>1708800</v>
      </c>
      <c r="BK116" s="24">
        <f t="shared" si="142"/>
        <v>0</v>
      </c>
      <c r="BL116" s="24">
        <f t="shared" si="142"/>
        <v>0</v>
      </c>
      <c r="BM116" s="24">
        <f t="shared" si="142"/>
        <v>0</v>
      </c>
      <c r="BN116" s="24"/>
      <c r="BO116" s="24"/>
      <c r="BP116" s="24">
        <f t="shared" si="143"/>
        <v>0</v>
      </c>
      <c r="BQ116" s="24">
        <f t="shared" si="144"/>
        <v>13377</v>
      </c>
      <c r="BR116" s="25">
        <f t="shared" si="119"/>
        <v>0.73433779769377394</v>
      </c>
      <c r="BS116" s="24">
        <f t="shared" si="145"/>
        <v>1603473128</v>
      </c>
      <c r="BT116" s="24"/>
      <c r="BU116" s="24"/>
      <c r="BV116" s="24">
        <f>+'[4]DICIEMBRE 2016'!$M$165</f>
        <v>1413185808</v>
      </c>
      <c r="BW116" s="24"/>
      <c r="BX116" s="24"/>
      <c r="BY116" s="24"/>
      <c r="BZ116" s="24"/>
      <c r="CA116" s="24"/>
      <c r="CB116" s="24"/>
      <c r="CC116" s="24"/>
      <c r="CD116" s="24">
        <f>+'[2]DICIEMBRE 2016'!$H$164+'[2]DICIEMBRE 2016'!$H$190</f>
        <v>70000000</v>
      </c>
      <c r="CE116" s="24"/>
      <c r="CF116" s="24">
        <f>+'[2]DICIEMBRE 2016'!$H$223+'[2]DICIEMBRE 2016'!$H$226</f>
        <v>110421200</v>
      </c>
      <c r="CG116" s="24"/>
      <c r="CH116" s="24"/>
      <c r="CI116" s="24"/>
      <c r="CJ116" s="24"/>
      <c r="CK116" s="24"/>
      <c r="CL116" s="24"/>
      <c r="CM116" s="24">
        <f>+'[7]MAYO 2016'!$H$91</f>
        <v>9866120</v>
      </c>
      <c r="CN116" s="25">
        <f t="shared" si="121"/>
        <v>0.26566220230622606</v>
      </c>
      <c r="CO116" s="24">
        <f t="shared" si="146"/>
        <v>580090258</v>
      </c>
      <c r="CP116" s="24">
        <f t="shared" si="147"/>
        <v>0</v>
      </c>
      <c r="CQ116" s="24">
        <f t="shared" si="147"/>
        <v>578368081</v>
      </c>
      <c r="CR116" s="24">
        <f t="shared" si="147"/>
        <v>0</v>
      </c>
      <c r="CS116" s="24">
        <f t="shared" si="147"/>
        <v>0</v>
      </c>
      <c r="CT116" s="24">
        <f t="shared" si="147"/>
        <v>0</v>
      </c>
      <c r="CU116" s="24">
        <f t="shared" si="147"/>
        <v>0</v>
      </c>
      <c r="CV116" s="24">
        <f t="shared" si="148"/>
        <v>0</v>
      </c>
      <c r="CW116" s="24">
        <f t="shared" si="148"/>
        <v>0</v>
      </c>
      <c r="CX116" s="24">
        <f t="shared" si="148"/>
        <v>0</v>
      </c>
      <c r="CY116" s="24">
        <f t="shared" si="149"/>
        <v>0</v>
      </c>
      <c r="CZ116" s="24">
        <f t="shared" si="149"/>
        <v>0</v>
      </c>
      <c r="DA116" s="24">
        <f t="shared" si="149"/>
        <v>1708800</v>
      </c>
      <c r="DB116" s="24">
        <f t="shared" si="150"/>
        <v>0</v>
      </c>
      <c r="DC116" s="24">
        <f t="shared" si="150"/>
        <v>0</v>
      </c>
      <c r="DD116" s="24">
        <f t="shared" si="150"/>
        <v>0</v>
      </c>
      <c r="DE116" s="24"/>
      <c r="DF116" s="24">
        <f t="shared" si="151"/>
        <v>0</v>
      </c>
      <c r="DG116" s="24">
        <f t="shared" si="151"/>
        <v>0</v>
      </c>
      <c r="DH116" s="24">
        <f t="shared" si="151"/>
        <v>13377</v>
      </c>
      <c r="DJ116" s="194"/>
      <c r="DK116" s="194"/>
      <c r="DL116" s="198"/>
      <c r="DM116" s="199"/>
      <c r="DN116" s="200"/>
    </row>
    <row r="117" spans="1:118" ht="34.5" hidden="1" customHeight="1" x14ac:dyDescent="0.25">
      <c r="A117" s="246"/>
      <c r="B117" s="240"/>
      <c r="C117" s="69" t="s">
        <v>329</v>
      </c>
      <c r="D117" s="95" t="s">
        <v>330</v>
      </c>
      <c r="E117" s="94">
        <v>211</v>
      </c>
      <c r="F117" s="23" t="s">
        <v>324</v>
      </c>
      <c r="G117" s="24">
        <f t="shared" si="138"/>
        <v>231731405</v>
      </c>
      <c r="H117" s="24"/>
      <c r="I117" s="24">
        <f>170000000+50000000-35570983</f>
        <v>184429017</v>
      </c>
      <c r="J117" s="24"/>
      <c r="K117" s="24"/>
      <c r="L117" s="24"/>
      <c r="M117" s="24"/>
      <c r="N117" s="24"/>
      <c r="O117" s="24"/>
      <c r="P117" s="24"/>
      <c r="Q117" s="24">
        <v>10432388</v>
      </c>
      <c r="R117" s="24"/>
      <c r="S117" s="24">
        <f>130000000-112130000</f>
        <v>17870000</v>
      </c>
      <c r="T117" s="24"/>
      <c r="U117" s="24"/>
      <c r="V117" s="24"/>
      <c r="W117" s="24"/>
      <c r="X117" s="24"/>
      <c r="Y117" s="24"/>
      <c r="Z117" s="24">
        <v>19000000</v>
      </c>
      <c r="AA117" s="25">
        <f t="shared" si="111"/>
        <v>0.93118469203602339</v>
      </c>
      <c r="AB117" s="24">
        <f t="shared" si="139"/>
        <v>215784737</v>
      </c>
      <c r="AC117" s="24"/>
      <c r="AD117" s="24"/>
      <c r="AE117" s="24">
        <f>+'[5]NOVIEMBRE 2016'!$M$212</f>
        <v>183477457</v>
      </c>
      <c r="AF117" s="24"/>
      <c r="AG117" s="24"/>
      <c r="AH117" s="24"/>
      <c r="AI117" s="24"/>
      <c r="AJ117" s="24"/>
      <c r="AK117" s="24"/>
      <c r="AL117" s="24"/>
      <c r="AM117" s="24"/>
      <c r="AN117" s="24"/>
      <c r="AO117" s="24">
        <f>+'[2]DICIEMBRE 2016'!$W$230</f>
        <v>13338840</v>
      </c>
      <c r="AP117" s="24"/>
      <c r="AQ117" s="24"/>
      <c r="AR117" s="24"/>
      <c r="AS117" s="24"/>
      <c r="AT117" s="24"/>
      <c r="AU117" s="24"/>
      <c r="AV117" s="24">
        <f>+'[5]NOVIEMBRE 2016'!$AG$212</f>
        <v>18968440</v>
      </c>
      <c r="AW117" s="25">
        <f t="shared" si="113"/>
        <v>6.8815307963976613E-2</v>
      </c>
      <c r="AX117" s="24">
        <f t="shared" si="140"/>
        <v>15946668</v>
      </c>
      <c r="AY117" s="24">
        <f t="shared" si="141"/>
        <v>0</v>
      </c>
      <c r="AZ117" s="24">
        <f t="shared" si="141"/>
        <v>951560</v>
      </c>
      <c r="BA117" s="24">
        <f t="shared" si="141"/>
        <v>0</v>
      </c>
      <c r="BB117" s="24">
        <f t="shared" si="142"/>
        <v>0</v>
      </c>
      <c r="BC117" s="24">
        <f t="shared" si="142"/>
        <v>0</v>
      </c>
      <c r="BD117" s="24">
        <f t="shared" si="142"/>
        <v>0</v>
      </c>
      <c r="BE117" s="24">
        <f t="shared" si="142"/>
        <v>0</v>
      </c>
      <c r="BF117" s="24">
        <f t="shared" si="142"/>
        <v>0</v>
      </c>
      <c r="BG117" s="24">
        <f t="shared" si="142"/>
        <v>0</v>
      </c>
      <c r="BH117" s="24">
        <f t="shared" si="142"/>
        <v>10432388</v>
      </c>
      <c r="BI117" s="24">
        <f t="shared" si="142"/>
        <v>0</v>
      </c>
      <c r="BJ117" s="24">
        <f t="shared" si="142"/>
        <v>4531160</v>
      </c>
      <c r="BK117" s="24">
        <f t="shared" si="142"/>
        <v>0</v>
      </c>
      <c r="BL117" s="24">
        <f t="shared" si="142"/>
        <v>0</v>
      </c>
      <c r="BM117" s="24">
        <f t="shared" si="142"/>
        <v>0</v>
      </c>
      <c r="BN117" s="24"/>
      <c r="BO117" s="24"/>
      <c r="BP117" s="24">
        <f t="shared" si="143"/>
        <v>0</v>
      </c>
      <c r="BQ117" s="24">
        <f t="shared" si="144"/>
        <v>31560</v>
      </c>
      <c r="BR117" s="25">
        <f t="shared" si="119"/>
        <v>0.93118469203602339</v>
      </c>
      <c r="BS117" s="24">
        <f t="shared" si="145"/>
        <v>215784737</v>
      </c>
      <c r="BT117" s="24"/>
      <c r="BU117" s="24"/>
      <c r="BV117" s="24">
        <f>+'[10]SEPTIEMBRE 2016'!$H$167+'[10]SEPTIEMBRE 2016'!$H$176+'[10]SEPTIEMBRE 2016'!$H$178+'[10]SEPTIEMBRE 2016'!$H$179+'[10]SEPTIEMBRE 2016'!$H$181+'[10]SEPTIEMBRE 2016'!$H$184+'[10]SEPTIEMBRE 2016'!$H$187+'[10]SEPTIEMBRE 2016'!$H$189+'[10]SEPTIEMBRE 2016'!$H$191</f>
        <v>183477457</v>
      </c>
      <c r="BW117" s="24"/>
      <c r="BX117" s="24"/>
      <c r="BY117" s="24"/>
      <c r="BZ117" s="24"/>
      <c r="CA117" s="24"/>
      <c r="CB117" s="24"/>
      <c r="CC117" s="24"/>
      <c r="CD117" s="24"/>
      <c r="CE117" s="24"/>
      <c r="CF117" s="24">
        <f>+'[2]DICIEMBRE 2016'!$W$230</f>
        <v>13338840</v>
      </c>
      <c r="CG117" s="24"/>
      <c r="CH117" s="24"/>
      <c r="CI117" s="24"/>
      <c r="CJ117" s="24"/>
      <c r="CK117" s="24"/>
      <c r="CL117" s="24"/>
      <c r="CM117" s="24">
        <f>+'[5]NOVIEMBRE 2016'!$AG$212</f>
        <v>18968440</v>
      </c>
      <c r="CN117" s="25">
        <f t="shared" si="121"/>
        <v>6.8815307963976613E-2</v>
      </c>
      <c r="CO117" s="24">
        <f t="shared" si="146"/>
        <v>15946668</v>
      </c>
      <c r="CP117" s="24">
        <f t="shared" si="147"/>
        <v>0</v>
      </c>
      <c r="CQ117" s="24">
        <f t="shared" si="147"/>
        <v>951560</v>
      </c>
      <c r="CR117" s="24">
        <f t="shared" si="147"/>
        <v>0</v>
      </c>
      <c r="CS117" s="24">
        <f t="shared" si="147"/>
        <v>0</v>
      </c>
      <c r="CT117" s="24">
        <f t="shared" si="147"/>
        <v>0</v>
      </c>
      <c r="CU117" s="24">
        <f t="shared" si="147"/>
        <v>0</v>
      </c>
      <c r="CV117" s="24">
        <f t="shared" si="148"/>
        <v>0</v>
      </c>
      <c r="CW117" s="24">
        <f t="shared" si="148"/>
        <v>0</v>
      </c>
      <c r="CX117" s="24">
        <f t="shared" si="148"/>
        <v>0</v>
      </c>
      <c r="CY117" s="24">
        <f t="shared" si="149"/>
        <v>10432388</v>
      </c>
      <c r="CZ117" s="24">
        <f t="shared" si="149"/>
        <v>0</v>
      </c>
      <c r="DA117" s="24">
        <f t="shared" si="149"/>
        <v>4531160</v>
      </c>
      <c r="DB117" s="24">
        <f t="shared" si="150"/>
        <v>0</v>
      </c>
      <c r="DC117" s="24">
        <f t="shared" si="150"/>
        <v>0</v>
      </c>
      <c r="DD117" s="24">
        <f t="shared" si="150"/>
        <v>0</v>
      </c>
      <c r="DE117" s="24"/>
      <c r="DF117" s="24">
        <f t="shared" si="151"/>
        <v>0</v>
      </c>
      <c r="DG117" s="24">
        <f t="shared" si="151"/>
        <v>0</v>
      </c>
      <c r="DH117" s="24">
        <f t="shared" si="151"/>
        <v>31560</v>
      </c>
      <c r="DJ117" s="194"/>
      <c r="DK117" s="194"/>
      <c r="DL117" s="198"/>
      <c r="DM117" s="199"/>
      <c r="DN117" s="200"/>
    </row>
    <row r="118" spans="1:118" s="58" customFormat="1" ht="33" hidden="1" customHeight="1" x14ac:dyDescent="0.25">
      <c r="A118" s="246"/>
      <c r="B118" s="240"/>
      <c r="C118" s="55" t="s">
        <v>331</v>
      </c>
      <c r="D118" s="21" t="s">
        <v>332</v>
      </c>
      <c r="E118" s="89">
        <v>211</v>
      </c>
      <c r="F118" s="23" t="s">
        <v>333</v>
      </c>
      <c r="G118" s="24">
        <f t="shared" si="138"/>
        <v>316552303</v>
      </c>
      <c r="H118" s="28"/>
      <c r="I118" s="54">
        <f>453535209-155982906</f>
        <v>297552303</v>
      </c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>
        <f>6000000+13000000</f>
        <v>19000000</v>
      </c>
      <c r="AA118" s="57">
        <f t="shared" si="111"/>
        <v>0.96365088520616449</v>
      </c>
      <c r="AB118" s="24">
        <f t="shared" si="139"/>
        <v>305045907</v>
      </c>
      <c r="AC118" s="54"/>
      <c r="AD118" s="54"/>
      <c r="AE118" s="54">
        <f>+'[4]DICIEMBRE 2016'!$M$277</f>
        <v>292045907</v>
      </c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>
        <f>+'[10]SEPTIEMBRE 2016'!$AG$202</f>
        <v>13000000</v>
      </c>
      <c r="AW118" s="57">
        <f t="shared" si="113"/>
        <v>3.6349114793835513E-2</v>
      </c>
      <c r="AX118" s="24">
        <f t="shared" si="140"/>
        <v>11506396</v>
      </c>
      <c r="AY118" s="54">
        <f t="shared" si="141"/>
        <v>0</v>
      </c>
      <c r="AZ118" s="54">
        <f t="shared" si="141"/>
        <v>5506396</v>
      </c>
      <c r="BA118" s="54">
        <f t="shared" si="141"/>
        <v>0</v>
      </c>
      <c r="BB118" s="54">
        <f t="shared" si="142"/>
        <v>0</v>
      </c>
      <c r="BC118" s="54">
        <f t="shared" si="142"/>
        <v>0</v>
      </c>
      <c r="BD118" s="24">
        <f t="shared" si="142"/>
        <v>0</v>
      </c>
      <c r="BE118" s="54">
        <f t="shared" si="142"/>
        <v>0</v>
      </c>
      <c r="BF118" s="54">
        <f t="shared" si="142"/>
        <v>0</v>
      </c>
      <c r="BG118" s="54">
        <f t="shared" si="142"/>
        <v>0</v>
      </c>
      <c r="BH118" s="54">
        <f t="shared" si="142"/>
        <v>0</v>
      </c>
      <c r="BI118" s="54">
        <f t="shared" si="142"/>
        <v>0</v>
      </c>
      <c r="BJ118" s="54">
        <f t="shared" si="142"/>
        <v>0</v>
      </c>
      <c r="BK118" s="54">
        <f t="shared" si="142"/>
        <v>0</v>
      </c>
      <c r="BL118" s="54">
        <f t="shared" si="142"/>
        <v>0</v>
      </c>
      <c r="BM118" s="54">
        <f t="shared" si="142"/>
        <v>0</v>
      </c>
      <c r="BN118" s="54"/>
      <c r="BO118" s="54"/>
      <c r="BP118" s="24">
        <f t="shared" si="143"/>
        <v>0</v>
      </c>
      <c r="BQ118" s="54">
        <f t="shared" si="144"/>
        <v>6000000</v>
      </c>
      <c r="BR118" s="57">
        <f t="shared" si="119"/>
        <v>0.96365088520616449</v>
      </c>
      <c r="BS118" s="24">
        <f t="shared" si="145"/>
        <v>305045907</v>
      </c>
      <c r="BT118" s="54"/>
      <c r="BU118" s="54"/>
      <c r="BV118" s="54">
        <f>+'[2]DICIEMBRE 2016'!$H$273+'[2]DICIEMBRE 2016'!$H$275+'[2]DICIEMBRE 2016'!$H$277+'[2]DICIEMBRE 2016'!$H$279</f>
        <v>292045907</v>
      </c>
      <c r="BW118" s="54"/>
      <c r="BX118" s="54"/>
      <c r="BY118" s="54"/>
      <c r="BZ118" s="54"/>
      <c r="CA118" s="54"/>
      <c r="CB118" s="54"/>
      <c r="CC118" s="54"/>
      <c r="CD118" s="54"/>
      <c r="CE118" s="54"/>
      <c r="CF118" s="54"/>
      <c r="CG118" s="54"/>
      <c r="CH118" s="54"/>
      <c r="CI118" s="54"/>
      <c r="CJ118" s="54"/>
      <c r="CK118" s="54"/>
      <c r="CL118" s="54"/>
      <c r="CM118" s="54">
        <f>+'[10]SEPTIEMBRE 2016'!$H$209</f>
        <v>13000000</v>
      </c>
      <c r="CN118" s="57">
        <f t="shared" si="121"/>
        <v>3.6349114793835513E-2</v>
      </c>
      <c r="CO118" s="24">
        <f t="shared" si="146"/>
        <v>11506396</v>
      </c>
      <c r="CP118" s="24">
        <f t="shared" si="147"/>
        <v>0</v>
      </c>
      <c r="CQ118" s="54">
        <f t="shared" si="147"/>
        <v>5506396</v>
      </c>
      <c r="CR118" s="54">
        <f t="shared" si="147"/>
        <v>0</v>
      </c>
      <c r="CS118" s="54">
        <f t="shared" si="147"/>
        <v>0</v>
      </c>
      <c r="CT118" s="54">
        <f t="shared" si="147"/>
        <v>0</v>
      </c>
      <c r="CU118" s="24">
        <f t="shared" si="147"/>
        <v>0</v>
      </c>
      <c r="CV118" s="54">
        <f t="shared" si="148"/>
        <v>0</v>
      </c>
      <c r="CW118" s="54">
        <f t="shared" si="148"/>
        <v>0</v>
      </c>
      <c r="CX118" s="24">
        <f t="shared" si="148"/>
        <v>0</v>
      </c>
      <c r="CY118" s="54">
        <f t="shared" si="149"/>
        <v>0</v>
      </c>
      <c r="CZ118" s="54">
        <f t="shared" si="149"/>
        <v>0</v>
      </c>
      <c r="DA118" s="54">
        <f t="shared" si="149"/>
        <v>0</v>
      </c>
      <c r="DB118" s="54">
        <f t="shared" si="150"/>
        <v>0</v>
      </c>
      <c r="DC118" s="54">
        <f t="shared" si="150"/>
        <v>0</v>
      </c>
      <c r="DD118" s="54">
        <f t="shared" si="150"/>
        <v>0</v>
      </c>
      <c r="DE118" s="54"/>
      <c r="DF118" s="54">
        <f t="shared" si="151"/>
        <v>0</v>
      </c>
      <c r="DG118" s="54">
        <f t="shared" si="151"/>
        <v>0</v>
      </c>
      <c r="DH118" s="54">
        <f t="shared" si="151"/>
        <v>6000000</v>
      </c>
      <c r="DJ118" s="194"/>
      <c r="DK118" s="194"/>
      <c r="DL118" s="198"/>
      <c r="DM118" s="199"/>
      <c r="DN118" s="200"/>
    </row>
    <row r="119" spans="1:118" ht="95.25" hidden="1" customHeight="1" x14ac:dyDescent="0.25">
      <c r="A119" s="246"/>
      <c r="B119" s="240"/>
      <c r="C119" s="69" t="s">
        <v>334</v>
      </c>
      <c r="D119" s="21" t="s">
        <v>335</v>
      </c>
      <c r="E119" s="94">
        <v>211</v>
      </c>
      <c r="F119" s="23" t="s">
        <v>336</v>
      </c>
      <c r="G119" s="24">
        <f t="shared" si="138"/>
        <v>487777768</v>
      </c>
      <c r="H119" s="33"/>
      <c r="I119" s="24">
        <v>300000000</v>
      </c>
      <c r="J119" s="24"/>
      <c r="K119" s="24"/>
      <c r="L119" s="24"/>
      <c r="M119" s="24"/>
      <c r="N119" s="24"/>
      <c r="O119" s="24"/>
      <c r="P119" s="24"/>
      <c r="Q119" s="24">
        <v>15000000</v>
      </c>
      <c r="R119" s="24"/>
      <c r="S119" s="24"/>
      <c r="T119" s="24"/>
      <c r="U119" s="24"/>
      <c r="V119" s="24"/>
      <c r="W119" s="24"/>
      <c r="X119" s="24"/>
      <c r="Y119" s="24"/>
      <c r="Z119" s="24">
        <f>105607498+8000000+9000000-4000000+8000000-30000000+9956624+26213646+40000000</f>
        <v>172777768</v>
      </c>
      <c r="AA119" s="25">
        <f t="shared" si="111"/>
        <v>0.66491124909161503</v>
      </c>
      <c r="AB119" s="24">
        <f t="shared" si="139"/>
        <v>324328925</v>
      </c>
      <c r="AC119" s="24"/>
      <c r="AD119" s="24"/>
      <c r="AE119" s="24">
        <f>+'[4]DICIEMBRE 2016'!$M$293</f>
        <v>162699460</v>
      </c>
      <c r="AF119" s="24"/>
      <c r="AG119" s="24"/>
      <c r="AH119" s="24"/>
      <c r="AI119" s="24"/>
      <c r="AJ119" s="24"/>
      <c r="AK119" s="24"/>
      <c r="AL119" s="24"/>
      <c r="AM119" s="24">
        <v>15000000</v>
      </c>
      <c r="AN119" s="24"/>
      <c r="AO119" s="24"/>
      <c r="AP119" s="24"/>
      <c r="AQ119" s="24"/>
      <c r="AR119" s="24"/>
      <c r="AS119" s="24"/>
      <c r="AT119" s="24"/>
      <c r="AU119" s="24"/>
      <c r="AV119" s="24">
        <f>+'[4]DICIEMBRE 2016'!$AG$293</f>
        <v>146629465</v>
      </c>
      <c r="AW119" s="25">
        <f t="shared" si="113"/>
        <v>0.33508875090838497</v>
      </c>
      <c r="AX119" s="24">
        <f t="shared" si="140"/>
        <v>163448843</v>
      </c>
      <c r="AY119" s="24">
        <f t="shared" si="141"/>
        <v>0</v>
      </c>
      <c r="AZ119" s="24">
        <f t="shared" si="141"/>
        <v>137300540</v>
      </c>
      <c r="BA119" s="24">
        <f t="shared" si="141"/>
        <v>0</v>
      </c>
      <c r="BB119" s="24">
        <f t="shared" si="142"/>
        <v>0</v>
      </c>
      <c r="BC119" s="24">
        <f t="shared" si="142"/>
        <v>0</v>
      </c>
      <c r="BD119" s="24">
        <f t="shared" si="142"/>
        <v>0</v>
      </c>
      <c r="BE119" s="24">
        <f t="shared" si="142"/>
        <v>0</v>
      </c>
      <c r="BF119" s="24">
        <f t="shared" si="142"/>
        <v>0</v>
      </c>
      <c r="BG119" s="24">
        <f t="shared" si="142"/>
        <v>0</v>
      </c>
      <c r="BH119" s="24">
        <f t="shared" si="142"/>
        <v>0</v>
      </c>
      <c r="BI119" s="24">
        <f t="shared" si="142"/>
        <v>0</v>
      </c>
      <c r="BJ119" s="24">
        <f t="shared" si="142"/>
        <v>0</v>
      </c>
      <c r="BK119" s="24">
        <f t="shared" si="142"/>
        <v>0</v>
      </c>
      <c r="BL119" s="24">
        <f t="shared" si="142"/>
        <v>0</v>
      </c>
      <c r="BM119" s="24">
        <f t="shared" si="142"/>
        <v>0</v>
      </c>
      <c r="BN119" s="24"/>
      <c r="BO119" s="24"/>
      <c r="BP119" s="24">
        <f t="shared" si="143"/>
        <v>0</v>
      </c>
      <c r="BQ119" s="24">
        <f t="shared" si="144"/>
        <v>26148303</v>
      </c>
      <c r="BR119" s="25">
        <f t="shared" si="119"/>
        <v>0.66491124909161503</v>
      </c>
      <c r="BS119" s="24">
        <f t="shared" si="145"/>
        <v>324328925</v>
      </c>
      <c r="BT119" s="24"/>
      <c r="BU119" s="24"/>
      <c r="BV119" s="24">
        <f>+'[2]DICIEMBRE 2016'!$H$291+'[2]DICIEMBRE 2016'!$H$293+'[2]DICIEMBRE 2016'!$H$299+'[2]DICIEMBRE 2016'!$H$301+'[2]DICIEMBRE 2016'!$H$303+'[2]DICIEMBRE 2016'!$H$316</f>
        <v>162699460</v>
      </c>
      <c r="BW119" s="24"/>
      <c r="BX119" s="24"/>
      <c r="BY119" s="24"/>
      <c r="BZ119" s="24"/>
      <c r="CA119" s="24"/>
      <c r="CB119" s="24"/>
      <c r="CC119" s="24"/>
      <c r="CD119" s="24">
        <f>+'[12]MARZO 2016 ULTIMO'!$H$88</f>
        <v>15000000</v>
      </c>
      <c r="CE119" s="24"/>
      <c r="CF119" s="24"/>
      <c r="CG119" s="24"/>
      <c r="CH119" s="24"/>
      <c r="CI119" s="24"/>
      <c r="CJ119" s="24"/>
      <c r="CK119" s="24"/>
      <c r="CL119" s="24"/>
      <c r="CM119" s="24">
        <f>+'[2]DICIEMBRE 2016'!$H$295+'[2]DICIEMBRE 2016'!$H$297+'[2]DICIEMBRE 2016'!$H$305+'[2]DICIEMBRE 2016'!$H$307+'[2]DICIEMBRE 2016'!$H$309+'[2]DICIEMBRE 2016'!$H$310+'[2]DICIEMBRE 2016'!$H$311+'[2]DICIEMBRE 2016'!$H$312+'[2]DICIEMBRE 2016'!$H$313+'[2]DICIEMBRE 2016'!$H$314+'[2]DICIEMBRE 2016'!$H$318+'[2]DICIEMBRE 2016'!$H$320+'[2]DICIEMBRE 2016'!$H$322+'[2]DICIEMBRE 2016'!$H$324+'[2]DICIEMBRE 2016'!$H$326+'[2]DICIEMBRE 2016'!$H$328+'[2]DICIEMBRE 2016'!$H$331+'[2]DICIEMBRE 2016'!$H$334+'[2]DICIEMBRE 2016'!$H$336+'[2]DICIEMBRE 2016'!$H$338+'[2]DICIEMBRE 2016'!$H$340+'[2]DICIEMBRE 2016'!$H$342</f>
        <v>146629465</v>
      </c>
      <c r="CN119" s="25">
        <f t="shared" si="121"/>
        <v>0.33508875090838497</v>
      </c>
      <c r="CO119" s="24">
        <f t="shared" si="146"/>
        <v>163448843</v>
      </c>
      <c r="CP119" s="24">
        <f t="shared" si="147"/>
        <v>0</v>
      </c>
      <c r="CQ119" s="24">
        <f t="shared" si="147"/>
        <v>137300540</v>
      </c>
      <c r="CR119" s="24">
        <f t="shared" si="147"/>
        <v>0</v>
      </c>
      <c r="CS119" s="24">
        <f t="shared" si="147"/>
        <v>0</v>
      </c>
      <c r="CT119" s="24">
        <f t="shared" si="147"/>
        <v>0</v>
      </c>
      <c r="CU119" s="24">
        <f t="shared" si="147"/>
        <v>0</v>
      </c>
      <c r="CV119" s="24">
        <f t="shared" si="148"/>
        <v>0</v>
      </c>
      <c r="CW119" s="24">
        <f t="shared" si="148"/>
        <v>0</v>
      </c>
      <c r="CX119" s="24">
        <f t="shared" si="148"/>
        <v>0</v>
      </c>
      <c r="CY119" s="24">
        <f t="shared" si="149"/>
        <v>0</v>
      </c>
      <c r="CZ119" s="24">
        <f t="shared" si="149"/>
        <v>0</v>
      </c>
      <c r="DA119" s="24">
        <f t="shared" si="149"/>
        <v>0</v>
      </c>
      <c r="DB119" s="24">
        <f t="shared" si="150"/>
        <v>0</v>
      </c>
      <c r="DC119" s="24">
        <f t="shared" si="150"/>
        <v>0</v>
      </c>
      <c r="DD119" s="24">
        <f t="shared" si="150"/>
        <v>0</v>
      </c>
      <c r="DE119" s="24"/>
      <c r="DF119" s="24">
        <f t="shared" si="151"/>
        <v>0</v>
      </c>
      <c r="DG119" s="24">
        <f t="shared" si="151"/>
        <v>0</v>
      </c>
      <c r="DH119" s="24">
        <f t="shared" si="151"/>
        <v>26148303</v>
      </c>
      <c r="DJ119" s="194"/>
      <c r="DK119" s="194"/>
      <c r="DL119" s="198"/>
      <c r="DM119" s="199"/>
      <c r="DN119" s="200"/>
    </row>
    <row r="120" spans="1:118" ht="91.5" hidden="1" customHeight="1" x14ac:dyDescent="0.25">
      <c r="A120" s="246"/>
      <c r="B120" s="240"/>
      <c r="C120" s="69" t="s">
        <v>337</v>
      </c>
      <c r="D120" s="21" t="s">
        <v>338</v>
      </c>
      <c r="E120" s="94">
        <v>211</v>
      </c>
      <c r="F120" s="23" t="s">
        <v>336</v>
      </c>
      <c r="G120" s="24">
        <f t="shared" si="138"/>
        <v>215639414</v>
      </c>
      <c r="H120" s="33"/>
      <c r="I120" s="24">
        <f>50000000+78446028</f>
        <v>128446028</v>
      </c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>
        <f>47318981+5271083+155508+1089440+2317590+1325109+1257366+1440267+10918006+9000000+7100036</f>
        <v>87193386</v>
      </c>
      <c r="AA120" s="25">
        <f t="shared" si="111"/>
        <v>0.7896914429567129</v>
      </c>
      <c r="AB120" s="24">
        <f t="shared" si="139"/>
        <v>170288600</v>
      </c>
      <c r="AC120" s="24"/>
      <c r="AD120" s="24"/>
      <c r="AE120" s="24">
        <f>+'[5]NOVIEMBRE 2016'!$M$323</f>
        <v>128440000</v>
      </c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>
        <f>+'[2]DICIEMBRE 2016'!$AG$349</f>
        <v>41848600</v>
      </c>
      <c r="AW120" s="25">
        <f t="shared" si="113"/>
        <v>0.2103085570432871</v>
      </c>
      <c r="AX120" s="24">
        <f t="shared" si="140"/>
        <v>45350814</v>
      </c>
      <c r="AY120" s="24">
        <f t="shared" si="141"/>
        <v>0</v>
      </c>
      <c r="AZ120" s="24">
        <f t="shared" si="141"/>
        <v>6028</v>
      </c>
      <c r="BA120" s="24">
        <f t="shared" si="141"/>
        <v>0</v>
      </c>
      <c r="BB120" s="24">
        <f t="shared" si="142"/>
        <v>0</v>
      </c>
      <c r="BC120" s="24">
        <f t="shared" si="142"/>
        <v>0</v>
      </c>
      <c r="BD120" s="24">
        <f t="shared" si="142"/>
        <v>0</v>
      </c>
      <c r="BE120" s="24">
        <f t="shared" si="142"/>
        <v>0</v>
      </c>
      <c r="BF120" s="24">
        <f t="shared" si="142"/>
        <v>0</v>
      </c>
      <c r="BG120" s="24">
        <f t="shared" si="142"/>
        <v>0</v>
      </c>
      <c r="BH120" s="24">
        <f t="shared" si="142"/>
        <v>0</v>
      </c>
      <c r="BI120" s="24">
        <f t="shared" si="142"/>
        <v>0</v>
      </c>
      <c r="BJ120" s="24">
        <f t="shared" si="142"/>
        <v>0</v>
      </c>
      <c r="BK120" s="24">
        <f t="shared" si="142"/>
        <v>0</v>
      </c>
      <c r="BL120" s="24">
        <f t="shared" si="142"/>
        <v>0</v>
      </c>
      <c r="BM120" s="24">
        <f t="shared" si="142"/>
        <v>0</v>
      </c>
      <c r="BN120" s="24"/>
      <c r="BO120" s="24"/>
      <c r="BP120" s="24">
        <f t="shared" si="143"/>
        <v>0</v>
      </c>
      <c r="BQ120" s="24">
        <f t="shared" si="144"/>
        <v>45344786</v>
      </c>
      <c r="BR120" s="25">
        <f t="shared" si="119"/>
        <v>0.7896914429567129</v>
      </c>
      <c r="BS120" s="24">
        <f t="shared" si="145"/>
        <v>170288600</v>
      </c>
      <c r="BT120" s="24"/>
      <c r="BU120" s="24"/>
      <c r="BV120" s="24">
        <f>+'[2]DICIEMBRE 2016'!$M$349</f>
        <v>128440000</v>
      </c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>
        <f>+'[2]DICIEMBRE 2016'!$H$350+'[2]DICIEMBRE 2016'!$H$352+'[2]DICIEMBRE 2016'!$H$353+'[2]DICIEMBRE 2016'!$H$356+'[2]DICIEMBRE 2016'!$H$360+'[2]DICIEMBRE 2016'!$H$362+'[2]DICIEMBRE 2016'!$H$363+'[2]DICIEMBRE 2016'!$H$365+'[2]DICIEMBRE 2016'!$H$367+'[2]DICIEMBRE 2016'!$H$369</f>
        <v>41848600</v>
      </c>
      <c r="CN120" s="25">
        <f t="shared" si="121"/>
        <v>0.2103085570432871</v>
      </c>
      <c r="CO120" s="24">
        <f t="shared" si="146"/>
        <v>45350814</v>
      </c>
      <c r="CP120" s="24">
        <f t="shared" si="147"/>
        <v>0</v>
      </c>
      <c r="CQ120" s="24">
        <f t="shared" si="147"/>
        <v>6028</v>
      </c>
      <c r="CR120" s="24">
        <f t="shared" si="147"/>
        <v>0</v>
      </c>
      <c r="CS120" s="24">
        <f t="shared" si="147"/>
        <v>0</v>
      </c>
      <c r="CT120" s="24">
        <f t="shared" si="147"/>
        <v>0</v>
      </c>
      <c r="CU120" s="24">
        <f t="shared" si="147"/>
        <v>0</v>
      </c>
      <c r="CV120" s="24">
        <f t="shared" si="148"/>
        <v>0</v>
      </c>
      <c r="CW120" s="24">
        <f t="shared" si="148"/>
        <v>0</v>
      </c>
      <c r="CX120" s="24">
        <f t="shared" si="148"/>
        <v>0</v>
      </c>
      <c r="CY120" s="24">
        <f t="shared" si="149"/>
        <v>0</v>
      </c>
      <c r="CZ120" s="24">
        <f t="shared" si="149"/>
        <v>0</v>
      </c>
      <c r="DA120" s="24">
        <f t="shared" si="149"/>
        <v>0</v>
      </c>
      <c r="DB120" s="24">
        <f t="shared" si="150"/>
        <v>0</v>
      </c>
      <c r="DC120" s="24">
        <f t="shared" si="150"/>
        <v>0</v>
      </c>
      <c r="DD120" s="24">
        <f t="shared" si="150"/>
        <v>0</v>
      </c>
      <c r="DE120" s="24"/>
      <c r="DF120" s="24">
        <f t="shared" si="151"/>
        <v>0</v>
      </c>
      <c r="DG120" s="24">
        <f t="shared" si="151"/>
        <v>0</v>
      </c>
      <c r="DH120" s="24">
        <f t="shared" si="151"/>
        <v>45344786</v>
      </c>
      <c r="DJ120" s="194"/>
      <c r="DK120" s="194"/>
      <c r="DL120" s="198"/>
      <c r="DM120" s="199"/>
      <c r="DN120" s="200"/>
    </row>
    <row r="121" spans="1:118" ht="44.25" hidden="1" customHeight="1" x14ac:dyDescent="0.25">
      <c r="A121" s="246"/>
      <c r="B121" s="240"/>
      <c r="C121" s="69" t="s">
        <v>339</v>
      </c>
      <c r="D121" s="21" t="s">
        <v>340</v>
      </c>
      <c r="E121" s="94">
        <v>211</v>
      </c>
      <c r="F121" s="23" t="s">
        <v>341</v>
      </c>
      <c r="G121" s="24">
        <f t="shared" si="138"/>
        <v>11000000</v>
      </c>
      <c r="H121" s="33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3000000+2500000+1000000+2500000+2000000</f>
        <v>11000000</v>
      </c>
      <c r="AA121" s="25">
        <f t="shared" si="111"/>
        <v>0.99131081818181821</v>
      </c>
      <c r="AB121" s="24">
        <f t="shared" si="139"/>
        <v>10904419</v>
      </c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+'[4]DICIEMBRE 2016'!$AG$380</f>
        <v>10904419</v>
      </c>
      <c r="AW121" s="25">
        <f t="shared" si="113"/>
        <v>8.6891818181817904E-3</v>
      </c>
      <c r="AX121" s="24">
        <f t="shared" si="140"/>
        <v>95581</v>
      </c>
      <c r="AY121" s="24">
        <f t="shared" si="141"/>
        <v>0</v>
      </c>
      <c r="AZ121" s="24">
        <f t="shared" si="141"/>
        <v>0</v>
      </c>
      <c r="BA121" s="24">
        <f t="shared" si="141"/>
        <v>0</v>
      </c>
      <c r="BB121" s="24">
        <f t="shared" si="142"/>
        <v>0</v>
      </c>
      <c r="BC121" s="24">
        <f t="shared" si="142"/>
        <v>0</v>
      </c>
      <c r="BD121" s="24">
        <f t="shared" si="142"/>
        <v>0</v>
      </c>
      <c r="BE121" s="24">
        <f t="shared" si="142"/>
        <v>0</v>
      </c>
      <c r="BF121" s="24">
        <f t="shared" si="142"/>
        <v>0</v>
      </c>
      <c r="BG121" s="24">
        <f t="shared" si="142"/>
        <v>0</v>
      </c>
      <c r="BH121" s="24">
        <f t="shared" si="142"/>
        <v>0</v>
      </c>
      <c r="BI121" s="24">
        <f t="shared" si="142"/>
        <v>0</v>
      </c>
      <c r="BJ121" s="24">
        <f t="shared" si="142"/>
        <v>0</v>
      </c>
      <c r="BK121" s="24">
        <f t="shared" si="142"/>
        <v>0</v>
      </c>
      <c r="BL121" s="24">
        <f t="shared" si="142"/>
        <v>0</v>
      </c>
      <c r="BM121" s="24">
        <f t="shared" si="142"/>
        <v>0</v>
      </c>
      <c r="BN121" s="24"/>
      <c r="BO121" s="24"/>
      <c r="BP121" s="24">
        <f t="shared" si="143"/>
        <v>0</v>
      </c>
      <c r="BQ121" s="24">
        <f t="shared" si="144"/>
        <v>95581</v>
      </c>
      <c r="BR121" s="25">
        <f t="shared" si="119"/>
        <v>0.99131081818181821</v>
      </c>
      <c r="BS121" s="24">
        <f t="shared" si="145"/>
        <v>10904419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+'[4]DICIEMBRE 2016'!$AG$380</f>
        <v>10904419</v>
      </c>
      <c r="CN121" s="25">
        <f t="shared" si="121"/>
        <v>8.6891818181817904E-3</v>
      </c>
      <c r="CO121" s="24">
        <f t="shared" si="146"/>
        <v>95581</v>
      </c>
      <c r="CP121" s="24">
        <f t="shared" si="147"/>
        <v>0</v>
      </c>
      <c r="CQ121" s="24">
        <f t="shared" si="147"/>
        <v>0</v>
      </c>
      <c r="CR121" s="24">
        <f t="shared" si="147"/>
        <v>0</v>
      </c>
      <c r="CS121" s="24">
        <f t="shared" si="147"/>
        <v>0</v>
      </c>
      <c r="CT121" s="24">
        <f t="shared" si="147"/>
        <v>0</v>
      </c>
      <c r="CU121" s="24">
        <f t="shared" si="147"/>
        <v>0</v>
      </c>
      <c r="CV121" s="24">
        <f t="shared" si="148"/>
        <v>0</v>
      </c>
      <c r="CW121" s="24">
        <f t="shared" si="148"/>
        <v>0</v>
      </c>
      <c r="CX121" s="24">
        <f t="shared" si="148"/>
        <v>0</v>
      </c>
      <c r="CY121" s="24">
        <f t="shared" si="149"/>
        <v>0</v>
      </c>
      <c r="CZ121" s="24">
        <f t="shared" si="149"/>
        <v>0</v>
      </c>
      <c r="DA121" s="24">
        <f t="shared" si="149"/>
        <v>0</v>
      </c>
      <c r="DB121" s="24">
        <f t="shared" si="150"/>
        <v>0</v>
      </c>
      <c r="DC121" s="24">
        <f t="shared" si="150"/>
        <v>0</v>
      </c>
      <c r="DD121" s="24">
        <f t="shared" si="150"/>
        <v>0</v>
      </c>
      <c r="DE121" s="24"/>
      <c r="DF121" s="24">
        <f t="shared" si="151"/>
        <v>0</v>
      </c>
      <c r="DG121" s="24">
        <f t="shared" si="151"/>
        <v>0</v>
      </c>
      <c r="DH121" s="24">
        <f t="shared" si="151"/>
        <v>95581</v>
      </c>
      <c r="DJ121" s="194"/>
      <c r="DK121" s="194"/>
      <c r="DL121" s="198"/>
      <c r="DM121" s="199"/>
      <c r="DN121" s="200"/>
    </row>
    <row r="122" spans="1:118" ht="21.75" hidden="1" customHeight="1" x14ac:dyDescent="0.25">
      <c r="A122" s="246"/>
      <c r="B122" s="240"/>
      <c r="C122" s="69" t="s">
        <v>342</v>
      </c>
      <c r="D122" s="21" t="s">
        <v>343</v>
      </c>
      <c r="E122" s="94">
        <v>211</v>
      </c>
      <c r="F122" s="23" t="s">
        <v>76</v>
      </c>
      <c r="G122" s="24">
        <f t="shared" si="138"/>
        <v>5846336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5000000+846336</f>
        <v>5846336</v>
      </c>
      <c r="AA122" s="25">
        <f t="shared" si="111"/>
        <v>0.72683899796385287</v>
      </c>
      <c r="AB122" s="24">
        <f t="shared" si="139"/>
        <v>4249345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+'[10]SEPTIEMBRE 2016'!$G$284</f>
        <v>4249345</v>
      </c>
      <c r="AW122" s="25">
        <f t="shared" si="113"/>
        <v>0.27316100203614713</v>
      </c>
      <c r="AX122" s="24">
        <f t="shared" si="140"/>
        <v>1596991</v>
      </c>
      <c r="AY122" s="24">
        <f t="shared" si="141"/>
        <v>0</v>
      </c>
      <c r="AZ122" s="24">
        <f t="shared" si="141"/>
        <v>0</v>
      </c>
      <c r="BA122" s="24">
        <f t="shared" si="141"/>
        <v>0</v>
      </c>
      <c r="BB122" s="24">
        <f t="shared" si="142"/>
        <v>0</v>
      </c>
      <c r="BC122" s="24">
        <f t="shared" si="142"/>
        <v>0</v>
      </c>
      <c r="BD122" s="24">
        <f t="shared" si="142"/>
        <v>0</v>
      </c>
      <c r="BE122" s="24">
        <f t="shared" si="142"/>
        <v>0</v>
      </c>
      <c r="BF122" s="24">
        <f t="shared" si="142"/>
        <v>0</v>
      </c>
      <c r="BG122" s="24">
        <f t="shared" si="142"/>
        <v>0</v>
      </c>
      <c r="BH122" s="24">
        <f t="shared" si="142"/>
        <v>0</v>
      </c>
      <c r="BI122" s="24">
        <f t="shared" si="142"/>
        <v>0</v>
      </c>
      <c r="BJ122" s="24">
        <f t="shared" si="142"/>
        <v>0</v>
      </c>
      <c r="BK122" s="24">
        <f t="shared" si="142"/>
        <v>0</v>
      </c>
      <c r="BL122" s="24">
        <f t="shared" si="142"/>
        <v>0</v>
      </c>
      <c r="BM122" s="24">
        <f t="shared" si="142"/>
        <v>0</v>
      </c>
      <c r="BN122" s="24"/>
      <c r="BO122" s="24"/>
      <c r="BP122" s="24">
        <f t="shared" si="143"/>
        <v>0</v>
      </c>
      <c r="BQ122" s="24">
        <f t="shared" si="144"/>
        <v>1596991</v>
      </c>
      <c r="BR122" s="25">
        <f t="shared" si="119"/>
        <v>0.72683899796385287</v>
      </c>
      <c r="BS122" s="24">
        <f t="shared" si="145"/>
        <v>4249345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+'[10]SEPTIEMBRE 2016'!$H$284</f>
        <v>4249345</v>
      </c>
      <c r="CN122" s="25">
        <f t="shared" si="121"/>
        <v>0.27316100203614713</v>
      </c>
      <c r="CO122" s="24">
        <f t="shared" si="146"/>
        <v>1596991</v>
      </c>
      <c r="CP122" s="24">
        <f t="shared" si="147"/>
        <v>0</v>
      </c>
      <c r="CQ122" s="24">
        <f t="shared" si="147"/>
        <v>0</v>
      </c>
      <c r="CR122" s="24">
        <f t="shared" si="147"/>
        <v>0</v>
      </c>
      <c r="CS122" s="24">
        <f t="shared" si="147"/>
        <v>0</v>
      </c>
      <c r="CT122" s="24">
        <f t="shared" si="147"/>
        <v>0</v>
      </c>
      <c r="CU122" s="24">
        <f t="shared" si="147"/>
        <v>0</v>
      </c>
      <c r="CV122" s="24">
        <f t="shared" si="148"/>
        <v>0</v>
      </c>
      <c r="CW122" s="24">
        <f t="shared" si="148"/>
        <v>0</v>
      </c>
      <c r="CX122" s="24">
        <f t="shared" si="148"/>
        <v>0</v>
      </c>
      <c r="CY122" s="24">
        <f t="shared" si="149"/>
        <v>0</v>
      </c>
      <c r="CZ122" s="24">
        <f t="shared" si="149"/>
        <v>0</v>
      </c>
      <c r="DA122" s="24">
        <f t="shared" si="149"/>
        <v>0</v>
      </c>
      <c r="DB122" s="24">
        <f t="shared" si="150"/>
        <v>0</v>
      </c>
      <c r="DC122" s="24">
        <f t="shared" si="150"/>
        <v>0</v>
      </c>
      <c r="DD122" s="24">
        <f t="shared" si="150"/>
        <v>0</v>
      </c>
      <c r="DE122" s="24"/>
      <c r="DF122" s="24">
        <f t="shared" si="151"/>
        <v>0</v>
      </c>
      <c r="DG122" s="24">
        <f t="shared" si="151"/>
        <v>0</v>
      </c>
      <c r="DH122" s="24">
        <f t="shared" si="151"/>
        <v>1596991</v>
      </c>
      <c r="DJ122" s="194"/>
      <c r="DK122" s="194"/>
      <c r="DL122" s="198"/>
      <c r="DM122" s="199"/>
      <c r="DN122" s="200"/>
    </row>
    <row r="123" spans="1:118" s="58" customFormat="1" ht="20.25" hidden="1" customHeight="1" x14ac:dyDescent="0.25">
      <c r="A123" s="246"/>
      <c r="B123" s="240"/>
      <c r="C123" s="55" t="s">
        <v>344</v>
      </c>
      <c r="D123" s="21" t="s">
        <v>345</v>
      </c>
      <c r="E123" s="89">
        <v>211</v>
      </c>
      <c r="F123" s="23" t="s">
        <v>324</v>
      </c>
      <c r="G123" s="24">
        <f t="shared" si="138"/>
        <v>325200000</v>
      </c>
      <c r="H123" s="28"/>
      <c r="I123" s="54">
        <f>296464791+28735209-68986271+68986271</f>
        <v>325200000</v>
      </c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>
        <f>28735209-28735209</f>
        <v>0</v>
      </c>
      <c r="V123" s="24"/>
      <c r="W123" s="24"/>
      <c r="X123" s="24"/>
      <c r="Y123" s="24"/>
      <c r="Z123" s="24"/>
      <c r="AA123" s="57">
        <f t="shared" si="111"/>
        <v>0.99969555043050429</v>
      </c>
      <c r="AB123" s="24">
        <f t="shared" si="139"/>
        <v>325100993</v>
      </c>
      <c r="AC123" s="54"/>
      <c r="AD123" s="54"/>
      <c r="AE123" s="54">
        <f>+'[2]DICIEMBRE 2016'!$M$399</f>
        <v>325100993</v>
      </c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7">
        <f t="shared" si="113"/>
        <v>3.0444956949571278E-4</v>
      </c>
      <c r="AX123" s="24">
        <f t="shared" si="140"/>
        <v>99007</v>
      </c>
      <c r="AY123" s="54">
        <f t="shared" si="141"/>
        <v>0</v>
      </c>
      <c r="AZ123" s="54">
        <f t="shared" si="141"/>
        <v>99007</v>
      </c>
      <c r="BA123" s="54">
        <f t="shared" si="141"/>
        <v>0</v>
      </c>
      <c r="BB123" s="54">
        <f t="shared" si="142"/>
        <v>0</v>
      </c>
      <c r="BC123" s="54">
        <f t="shared" si="142"/>
        <v>0</v>
      </c>
      <c r="BD123" s="24">
        <f t="shared" si="142"/>
        <v>0</v>
      </c>
      <c r="BE123" s="54">
        <f t="shared" si="142"/>
        <v>0</v>
      </c>
      <c r="BF123" s="54">
        <f t="shared" si="142"/>
        <v>0</v>
      </c>
      <c r="BG123" s="54">
        <f t="shared" si="142"/>
        <v>0</v>
      </c>
      <c r="BH123" s="54">
        <f t="shared" si="142"/>
        <v>0</v>
      </c>
      <c r="BI123" s="54">
        <f t="shared" si="142"/>
        <v>0</v>
      </c>
      <c r="BJ123" s="54">
        <f t="shared" si="142"/>
        <v>0</v>
      </c>
      <c r="BK123" s="54">
        <f t="shared" si="142"/>
        <v>0</v>
      </c>
      <c r="BL123" s="54">
        <f t="shared" si="142"/>
        <v>0</v>
      </c>
      <c r="BM123" s="54">
        <f t="shared" si="142"/>
        <v>0</v>
      </c>
      <c r="BN123" s="54"/>
      <c r="BO123" s="54"/>
      <c r="BP123" s="24">
        <f t="shared" si="143"/>
        <v>0</v>
      </c>
      <c r="BQ123" s="54">
        <f t="shared" si="144"/>
        <v>0</v>
      </c>
      <c r="BR123" s="57">
        <f t="shared" si="119"/>
        <v>0.99969555043050429</v>
      </c>
      <c r="BS123" s="24">
        <f t="shared" si="145"/>
        <v>325100993</v>
      </c>
      <c r="BT123" s="54"/>
      <c r="BU123" s="54"/>
      <c r="BV123" s="54">
        <f>+'[1]OCTUBRE 2016'!$H$326</f>
        <v>325100993</v>
      </c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7">
        <f t="shared" si="121"/>
        <v>3.0444956949571278E-4</v>
      </c>
      <c r="CO123" s="24">
        <f t="shared" si="146"/>
        <v>99007</v>
      </c>
      <c r="CP123" s="24">
        <f t="shared" si="147"/>
        <v>0</v>
      </c>
      <c r="CQ123" s="54">
        <f t="shared" si="147"/>
        <v>99007</v>
      </c>
      <c r="CR123" s="54">
        <f t="shared" si="147"/>
        <v>0</v>
      </c>
      <c r="CS123" s="54">
        <f t="shared" si="147"/>
        <v>0</v>
      </c>
      <c r="CT123" s="54">
        <f t="shared" si="147"/>
        <v>0</v>
      </c>
      <c r="CU123" s="24">
        <f t="shared" si="147"/>
        <v>0</v>
      </c>
      <c r="CV123" s="54">
        <f t="shared" si="148"/>
        <v>0</v>
      </c>
      <c r="CW123" s="54">
        <f t="shared" si="148"/>
        <v>0</v>
      </c>
      <c r="CX123" s="24">
        <f t="shared" si="148"/>
        <v>0</v>
      </c>
      <c r="CY123" s="54">
        <f t="shared" si="149"/>
        <v>0</v>
      </c>
      <c r="CZ123" s="54">
        <f t="shared" si="149"/>
        <v>0</v>
      </c>
      <c r="DA123" s="54">
        <f t="shared" si="149"/>
        <v>0</v>
      </c>
      <c r="DB123" s="54">
        <f t="shared" si="150"/>
        <v>0</v>
      </c>
      <c r="DC123" s="54">
        <f t="shared" si="150"/>
        <v>0</v>
      </c>
      <c r="DD123" s="54">
        <f t="shared" si="150"/>
        <v>0</v>
      </c>
      <c r="DE123" s="54"/>
      <c r="DF123" s="54">
        <f t="shared" si="151"/>
        <v>0</v>
      </c>
      <c r="DG123" s="54">
        <f t="shared" si="151"/>
        <v>0</v>
      </c>
      <c r="DH123" s="54">
        <f t="shared" si="151"/>
        <v>0</v>
      </c>
      <c r="DJ123" s="194"/>
      <c r="DK123" s="194"/>
      <c r="DL123" s="198"/>
      <c r="DM123" s="199"/>
      <c r="DN123" s="200"/>
    </row>
    <row r="124" spans="1:118" s="58" customFormat="1" ht="21.75" hidden="1" customHeight="1" x14ac:dyDescent="0.25">
      <c r="A124" s="246"/>
      <c r="B124" s="241"/>
      <c r="C124" s="55" t="s">
        <v>346</v>
      </c>
      <c r="D124" s="21" t="s">
        <v>347</v>
      </c>
      <c r="E124" s="89">
        <v>211</v>
      </c>
      <c r="F124" s="23" t="s">
        <v>324</v>
      </c>
      <c r="G124" s="24">
        <f t="shared" si="138"/>
        <v>250000000</v>
      </c>
      <c r="H124" s="28"/>
      <c r="I124" s="54"/>
      <c r="J124" s="24"/>
      <c r="K124" s="24"/>
      <c r="L124" s="24"/>
      <c r="M124" s="24"/>
      <c r="N124" s="24"/>
      <c r="O124" s="24"/>
      <c r="P124" s="24"/>
      <c r="Q124" s="24"/>
      <c r="R124" s="24"/>
      <c r="S124" s="24">
        <v>250000000</v>
      </c>
      <c r="T124" s="24"/>
      <c r="U124" s="24"/>
      <c r="V124" s="24"/>
      <c r="W124" s="24"/>
      <c r="X124" s="24"/>
      <c r="Y124" s="24"/>
      <c r="Z124" s="24"/>
      <c r="AA124" s="57">
        <f t="shared" si="111"/>
        <v>0.99872130800000003</v>
      </c>
      <c r="AB124" s="24">
        <f t="shared" si="139"/>
        <v>249680327</v>
      </c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>
        <f>+'[5]NOVIEMBRE 2016'!$W$389</f>
        <v>249680327</v>
      </c>
      <c r="AP124" s="54"/>
      <c r="AQ124" s="54"/>
      <c r="AR124" s="54"/>
      <c r="AS124" s="54"/>
      <c r="AT124" s="54"/>
      <c r="AU124" s="54"/>
      <c r="AV124" s="54"/>
      <c r="AW124" s="57">
        <f t="shared" si="113"/>
        <v>1.2786919999999702E-3</v>
      </c>
      <c r="AX124" s="24">
        <f t="shared" si="140"/>
        <v>319673</v>
      </c>
      <c r="AY124" s="54">
        <f t="shared" si="141"/>
        <v>0</v>
      </c>
      <c r="AZ124" s="54">
        <f t="shared" si="141"/>
        <v>0</v>
      </c>
      <c r="BA124" s="54">
        <f t="shared" si="141"/>
        <v>0</v>
      </c>
      <c r="BB124" s="54">
        <f t="shared" si="141"/>
        <v>0</v>
      </c>
      <c r="BC124" s="54">
        <f t="shared" si="141"/>
        <v>0</v>
      </c>
      <c r="BD124" s="54">
        <f t="shared" si="141"/>
        <v>0</v>
      </c>
      <c r="BE124" s="54">
        <f t="shared" si="141"/>
        <v>0</v>
      </c>
      <c r="BF124" s="54">
        <f t="shared" si="141"/>
        <v>0</v>
      </c>
      <c r="BG124" s="54">
        <f t="shared" si="141"/>
        <v>0</v>
      </c>
      <c r="BH124" s="54">
        <f t="shared" si="141"/>
        <v>0</v>
      </c>
      <c r="BI124" s="54">
        <f t="shared" si="141"/>
        <v>0</v>
      </c>
      <c r="BJ124" s="54">
        <f t="shared" si="141"/>
        <v>319673</v>
      </c>
      <c r="BK124" s="54">
        <f t="shared" si="141"/>
        <v>0</v>
      </c>
      <c r="BL124" s="54">
        <f t="shared" si="141"/>
        <v>0</v>
      </c>
      <c r="BM124" s="54">
        <f t="shared" si="141"/>
        <v>0</v>
      </c>
      <c r="BN124" s="54"/>
      <c r="BO124" s="54">
        <f>X124-AT124</f>
        <v>0</v>
      </c>
      <c r="BP124" s="24">
        <f t="shared" si="143"/>
        <v>0</v>
      </c>
      <c r="BQ124" s="54">
        <f>Z124-AV124</f>
        <v>0</v>
      </c>
      <c r="BR124" s="57">
        <f t="shared" si="119"/>
        <v>0.99872130800000003</v>
      </c>
      <c r="BS124" s="24">
        <f t="shared" si="145"/>
        <v>249680327</v>
      </c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>
        <f>+'[8]JULIO 2016'!$H$221</f>
        <v>249680327</v>
      </c>
      <c r="CG124" s="54"/>
      <c r="CH124" s="54"/>
      <c r="CI124" s="54"/>
      <c r="CJ124" s="54"/>
      <c r="CK124" s="54"/>
      <c r="CL124" s="54"/>
      <c r="CM124" s="54"/>
      <c r="CN124" s="57">
        <f t="shared" si="121"/>
        <v>1.2786919999999702E-3</v>
      </c>
      <c r="CO124" s="24">
        <f t="shared" si="146"/>
        <v>319673</v>
      </c>
      <c r="CP124" s="24">
        <f t="shared" si="147"/>
        <v>0</v>
      </c>
      <c r="CQ124" s="24">
        <f t="shared" si="147"/>
        <v>0</v>
      </c>
      <c r="CR124" s="24">
        <f t="shared" si="147"/>
        <v>0</v>
      </c>
      <c r="CS124" s="24">
        <f t="shared" si="147"/>
        <v>0</v>
      </c>
      <c r="CT124" s="24">
        <f t="shared" si="147"/>
        <v>0</v>
      </c>
      <c r="CU124" s="24">
        <f t="shared" si="147"/>
        <v>0</v>
      </c>
      <c r="CV124" s="24">
        <f>N124-CA124</f>
        <v>0</v>
      </c>
      <c r="CW124" s="24">
        <f>O124-CB124</f>
        <v>0</v>
      </c>
      <c r="CX124" s="24">
        <f>P124-CC124</f>
        <v>0</v>
      </c>
      <c r="CY124" s="24">
        <f t="shared" si="149"/>
        <v>0</v>
      </c>
      <c r="CZ124" s="24">
        <f t="shared" si="149"/>
        <v>0</v>
      </c>
      <c r="DA124" s="24">
        <f t="shared" si="149"/>
        <v>319673</v>
      </c>
      <c r="DB124" s="24">
        <f>T124-CG124</f>
        <v>0</v>
      </c>
      <c r="DC124" s="24">
        <f>U124-CH124</f>
        <v>0</v>
      </c>
      <c r="DD124" s="24">
        <f>V124-CI124</f>
        <v>0</v>
      </c>
      <c r="DE124" s="24"/>
      <c r="DF124" s="24">
        <f>X124-CK124</f>
        <v>0</v>
      </c>
      <c r="DG124" s="24">
        <f>Y124-CL124</f>
        <v>0</v>
      </c>
      <c r="DH124" s="24">
        <f>Z124-CM124</f>
        <v>0</v>
      </c>
      <c r="DJ124" s="194"/>
      <c r="DK124" s="194"/>
      <c r="DL124" s="198"/>
      <c r="DM124" s="199"/>
      <c r="DN124" s="200"/>
    </row>
    <row r="125" spans="1:118" s="58" customFormat="1" ht="50.25" hidden="1" customHeight="1" x14ac:dyDescent="0.25">
      <c r="A125" s="96"/>
      <c r="B125" s="21" t="s">
        <v>348</v>
      </c>
      <c r="C125" s="55" t="s">
        <v>349</v>
      </c>
      <c r="D125" s="21" t="s">
        <v>350</v>
      </c>
      <c r="E125" s="89" t="s">
        <v>351</v>
      </c>
      <c r="F125" s="23" t="s">
        <v>324</v>
      </c>
      <c r="G125" s="24">
        <f t="shared" si="138"/>
        <v>3185000000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>
        <f>485000000</f>
        <v>485000000</v>
      </c>
      <c r="U125" s="24"/>
      <c r="V125" s="24"/>
      <c r="W125" s="24"/>
      <c r="X125" s="24">
        <v>2700000000</v>
      </c>
      <c r="Y125" s="24"/>
      <c r="Z125" s="24"/>
      <c r="AA125" s="57">
        <f t="shared" si="111"/>
        <v>0.7800764106750393</v>
      </c>
      <c r="AB125" s="24">
        <f t="shared" si="139"/>
        <v>2484543368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>
        <f>+'[10]SEPTIEMBRE 2016'!$X$3643</f>
        <v>451915027</v>
      </c>
      <c r="AQ125" s="54"/>
      <c r="AR125" s="54"/>
      <c r="AS125" s="54"/>
      <c r="AT125" s="54">
        <f>+'[4]DICIEMBRE 2016'!$AB$4811</f>
        <v>2032628341</v>
      </c>
      <c r="AU125" s="54"/>
      <c r="AV125" s="54"/>
      <c r="AW125" s="57">
        <f t="shared" si="113"/>
        <v>0.2199235893249607</v>
      </c>
      <c r="AX125" s="24">
        <f t="shared" si="140"/>
        <v>700456632</v>
      </c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>
        <f>T125-AP125</f>
        <v>33084973</v>
      </c>
      <c r="BL125" s="54"/>
      <c r="BM125" s="54"/>
      <c r="BN125" s="54"/>
      <c r="BO125" s="54">
        <f>X125-AT125</f>
        <v>667371659</v>
      </c>
      <c r="BP125" s="24"/>
      <c r="BQ125" s="54"/>
      <c r="BR125" s="57">
        <f t="shared" si="119"/>
        <v>0.7800764106750393</v>
      </c>
      <c r="BS125" s="24">
        <f t="shared" si="145"/>
        <v>2484543368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>
        <f>+'[10]SEPTIEMBRE 2016'!$H$3653</f>
        <v>451915027</v>
      </c>
      <c r="CH125" s="54"/>
      <c r="CI125" s="54"/>
      <c r="CJ125" s="54"/>
      <c r="CK125" s="54">
        <f>+'[2]DICIEMBRE 2016'!$H$4806</f>
        <v>2032628341</v>
      </c>
      <c r="CL125" s="54"/>
      <c r="CM125" s="54"/>
      <c r="CN125" s="57">
        <f t="shared" si="121"/>
        <v>0.2199235893249607</v>
      </c>
      <c r="CO125" s="24">
        <f t="shared" si="146"/>
        <v>700456632</v>
      </c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>
        <f>T125-CG125</f>
        <v>33084973</v>
      </c>
      <c r="DC125" s="24"/>
      <c r="DD125" s="24"/>
      <c r="DE125" s="24"/>
      <c r="DF125" s="24">
        <f>X125-CK125</f>
        <v>667371659</v>
      </c>
      <c r="DG125" s="24"/>
      <c r="DH125" s="24"/>
      <c r="DJ125" s="194"/>
      <c r="DK125" s="194"/>
      <c r="DL125" s="198"/>
      <c r="DM125" s="199"/>
      <c r="DN125" s="200"/>
    </row>
    <row r="126" spans="1:118" ht="33.75" hidden="1" customHeight="1" x14ac:dyDescent="0.25">
      <c r="A126" s="246" t="s">
        <v>314</v>
      </c>
      <c r="B126" s="239" t="s">
        <v>352</v>
      </c>
      <c r="C126" s="69" t="s">
        <v>353</v>
      </c>
      <c r="D126" s="21" t="s">
        <v>354</v>
      </c>
      <c r="E126" s="94">
        <v>510</v>
      </c>
      <c r="F126" s="23" t="s">
        <v>355</v>
      </c>
      <c r="G126" s="24">
        <f t="shared" si="138"/>
        <v>97488992</v>
      </c>
      <c r="H126" s="24"/>
      <c r="I126" s="24"/>
      <c r="J126" s="24"/>
      <c r="K126" s="24">
        <f>95000000-3511008</f>
        <v>91488992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>
        <v>6000000</v>
      </c>
      <c r="V126" s="24"/>
      <c r="W126" s="24"/>
      <c r="X126" s="24"/>
      <c r="Y126" s="24"/>
      <c r="Z126" s="24"/>
      <c r="AA126" s="25">
        <f t="shared" si="111"/>
        <v>0.99301155970512034</v>
      </c>
      <c r="AB126" s="24">
        <f t="shared" si="139"/>
        <v>96807696</v>
      </c>
      <c r="AC126" s="24"/>
      <c r="AD126" s="24"/>
      <c r="AE126" s="24"/>
      <c r="AF126" s="24"/>
      <c r="AG126" s="24">
        <f>+'[4]DICIEMBRE 2016'!$O$3842</f>
        <v>91154992</v>
      </c>
      <c r="AH126" s="24"/>
      <c r="AI126" s="24"/>
      <c r="AJ126" s="24"/>
      <c r="AK126" s="24"/>
      <c r="AL126" s="24"/>
      <c r="AM126" s="24"/>
      <c r="AN126" s="24"/>
      <c r="AO126" s="24"/>
      <c r="AP126" s="24"/>
      <c r="AQ126" s="24">
        <f>+'[5]NOVIEMBRE 2016'!$Y$3656</f>
        <v>5652704</v>
      </c>
      <c r="AR126" s="24"/>
      <c r="AS126" s="24"/>
      <c r="AT126" s="24"/>
      <c r="AU126" s="24"/>
      <c r="AV126" s="24"/>
      <c r="AW126" s="25">
        <f t="shared" si="113"/>
        <v>6.9884402948796609E-3</v>
      </c>
      <c r="AX126" s="24">
        <f t="shared" si="140"/>
        <v>681296</v>
      </c>
      <c r="AY126" s="24">
        <f t="shared" ref="AY126:BA131" si="152">H126-AD126</f>
        <v>0</v>
      </c>
      <c r="AZ126" s="24">
        <f t="shared" si="152"/>
        <v>0</v>
      </c>
      <c r="BA126" s="24">
        <f t="shared" si="152"/>
        <v>0</v>
      </c>
      <c r="BB126" s="24">
        <f t="shared" ref="BB126:BM131" si="153">+K126-AG126</f>
        <v>334000</v>
      </c>
      <c r="BC126" s="24">
        <f t="shared" si="153"/>
        <v>0</v>
      </c>
      <c r="BD126" s="24">
        <f t="shared" si="153"/>
        <v>0</v>
      </c>
      <c r="BE126" s="24">
        <f t="shared" si="153"/>
        <v>0</v>
      </c>
      <c r="BF126" s="24">
        <f t="shared" si="153"/>
        <v>0</v>
      </c>
      <c r="BG126" s="24">
        <f t="shared" si="153"/>
        <v>0</v>
      </c>
      <c r="BH126" s="24">
        <f t="shared" si="153"/>
        <v>0</v>
      </c>
      <c r="BI126" s="24">
        <f t="shared" si="153"/>
        <v>0</v>
      </c>
      <c r="BJ126" s="24">
        <f t="shared" si="153"/>
        <v>0</v>
      </c>
      <c r="BK126" s="24">
        <f t="shared" si="153"/>
        <v>0</v>
      </c>
      <c r="BL126" s="24">
        <f t="shared" si="153"/>
        <v>347296</v>
      </c>
      <c r="BM126" s="24">
        <f t="shared" si="153"/>
        <v>0</v>
      </c>
      <c r="BN126" s="24"/>
      <c r="BO126" s="24"/>
      <c r="BP126" s="24">
        <f t="shared" ref="BP126:BP131" si="154">Y126-AU126</f>
        <v>0</v>
      </c>
      <c r="BQ126" s="24">
        <f t="shared" ref="BQ126:BQ131" si="155">+Z126-AV126</f>
        <v>0</v>
      </c>
      <c r="BR126" s="25">
        <f t="shared" si="119"/>
        <v>0.99301155970512034</v>
      </c>
      <c r="BS126" s="24">
        <f t="shared" si="145"/>
        <v>96807696</v>
      </c>
      <c r="BT126" s="24"/>
      <c r="BU126" s="24"/>
      <c r="BV126" s="24"/>
      <c r="BW126" s="24"/>
      <c r="BX126" s="24">
        <f>+'[4]DICIEMBRE 2016'!$O$3842</f>
        <v>91154992</v>
      </c>
      <c r="BY126" s="24"/>
      <c r="BZ126" s="24"/>
      <c r="CA126" s="24"/>
      <c r="CB126" s="24"/>
      <c r="CC126" s="24"/>
      <c r="CD126" s="24"/>
      <c r="CE126" s="24"/>
      <c r="CF126" s="24"/>
      <c r="CG126" s="24"/>
      <c r="CH126" s="24">
        <f>+'[2]DICIEMBRE 2016'!$Y$3841</f>
        <v>5652704</v>
      </c>
      <c r="CI126" s="24"/>
      <c r="CJ126" s="24"/>
      <c r="CK126" s="24"/>
      <c r="CL126" s="24"/>
      <c r="CM126" s="24"/>
      <c r="CN126" s="25">
        <f t="shared" si="121"/>
        <v>6.9884402948796609E-3</v>
      </c>
      <c r="CO126" s="24">
        <f t="shared" si="146"/>
        <v>681296</v>
      </c>
      <c r="CP126" s="24">
        <f t="shared" ref="CP126:CU131" si="156">H126-BU126</f>
        <v>0</v>
      </c>
      <c r="CQ126" s="24">
        <f t="shared" si="156"/>
        <v>0</v>
      </c>
      <c r="CR126" s="24">
        <f t="shared" si="156"/>
        <v>0</v>
      </c>
      <c r="CS126" s="24">
        <f t="shared" si="156"/>
        <v>334000</v>
      </c>
      <c r="CT126" s="24">
        <f t="shared" si="156"/>
        <v>0</v>
      </c>
      <c r="CU126" s="24">
        <f t="shared" si="156"/>
        <v>0</v>
      </c>
      <c r="CV126" s="24">
        <f t="shared" ref="CV126:CX131" si="157">+N126-CA126</f>
        <v>0</v>
      </c>
      <c r="CW126" s="24">
        <f t="shared" si="157"/>
        <v>0</v>
      </c>
      <c r="CX126" s="24">
        <f t="shared" si="157"/>
        <v>0</v>
      </c>
      <c r="CY126" s="24">
        <f t="shared" ref="CY126:DA131" si="158">Q126-CD126</f>
        <v>0</v>
      </c>
      <c r="CZ126" s="24">
        <f t="shared" si="158"/>
        <v>0</v>
      </c>
      <c r="DA126" s="24">
        <f t="shared" si="158"/>
        <v>0</v>
      </c>
      <c r="DB126" s="24">
        <f t="shared" ref="DB126:DD131" si="159">+T126-CG126</f>
        <v>0</v>
      </c>
      <c r="DC126" s="24">
        <f t="shared" si="159"/>
        <v>347296</v>
      </c>
      <c r="DD126" s="24">
        <f t="shared" si="159"/>
        <v>0</v>
      </c>
      <c r="DE126" s="24"/>
      <c r="DF126" s="24">
        <f t="shared" ref="DF126:DH131" si="160">+X126-CK126</f>
        <v>0</v>
      </c>
      <c r="DG126" s="24">
        <f t="shared" si="160"/>
        <v>0</v>
      </c>
      <c r="DH126" s="24">
        <f t="shared" si="160"/>
        <v>0</v>
      </c>
      <c r="DJ126" s="194" t="s">
        <v>413</v>
      </c>
      <c r="DK126" s="194"/>
      <c r="DL126" s="198"/>
      <c r="DM126" s="199"/>
      <c r="DN126" s="200"/>
    </row>
    <row r="127" spans="1:118" ht="44.25" hidden="1" customHeight="1" x14ac:dyDescent="0.25">
      <c r="A127" s="246"/>
      <c r="B127" s="240"/>
      <c r="C127" s="69" t="s">
        <v>356</v>
      </c>
      <c r="D127" s="21" t="s">
        <v>357</v>
      </c>
      <c r="E127" s="94">
        <v>510</v>
      </c>
      <c r="F127" s="23" t="s">
        <v>355</v>
      </c>
      <c r="G127" s="24">
        <f t="shared" si="138"/>
        <v>105511008</v>
      </c>
      <c r="H127" s="24"/>
      <c r="I127" s="24"/>
      <c r="J127" s="24"/>
      <c r="K127" s="24">
        <f>102000000+3511008</f>
        <v>105511008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5">
        <f t="shared" si="111"/>
        <v>0.9903049736763011</v>
      </c>
      <c r="AB127" s="24">
        <f t="shared" si="139"/>
        <v>104488076</v>
      </c>
      <c r="AC127" s="24"/>
      <c r="AD127" s="24"/>
      <c r="AE127" s="24"/>
      <c r="AF127" s="24"/>
      <c r="AG127" s="24">
        <f>+'[4]DICIEMBRE 2016'!$O$3869</f>
        <v>104488076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5">
        <f t="shared" si="113"/>
        <v>9.6950263236988965E-3</v>
      </c>
      <c r="AX127" s="24">
        <f t="shared" si="140"/>
        <v>1022932</v>
      </c>
      <c r="AY127" s="24">
        <f t="shared" si="152"/>
        <v>0</v>
      </c>
      <c r="AZ127" s="24">
        <f t="shared" si="152"/>
        <v>0</v>
      </c>
      <c r="BA127" s="24">
        <f t="shared" si="152"/>
        <v>0</v>
      </c>
      <c r="BB127" s="24">
        <f t="shared" si="153"/>
        <v>1022932</v>
      </c>
      <c r="BC127" s="24">
        <f t="shared" si="153"/>
        <v>0</v>
      </c>
      <c r="BD127" s="24">
        <f t="shared" si="153"/>
        <v>0</v>
      </c>
      <c r="BE127" s="24">
        <f t="shared" si="153"/>
        <v>0</v>
      </c>
      <c r="BF127" s="24">
        <f t="shared" si="153"/>
        <v>0</v>
      </c>
      <c r="BG127" s="24">
        <f t="shared" si="153"/>
        <v>0</v>
      </c>
      <c r="BH127" s="24">
        <f t="shared" si="153"/>
        <v>0</v>
      </c>
      <c r="BI127" s="24">
        <f t="shared" si="153"/>
        <v>0</v>
      </c>
      <c r="BJ127" s="24">
        <f t="shared" si="153"/>
        <v>0</v>
      </c>
      <c r="BK127" s="24">
        <f t="shared" si="153"/>
        <v>0</v>
      </c>
      <c r="BL127" s="24">
        <f t="shared" si="153"/>
        <v>0</v>
      </c>
      <c r="BM127" s="24">
        <f t="shared" si="153"/>
        <v>0</v>
      </c>
      <c r="BN127" s="24"/>
      <c r="BO127" s="24"/>
      <c r="BP127" s="24">
        <f t="shared" si="154"/>
        <v>0</v>
      </c>
      <c r="BQ127" s="24">
        <f t="shared" si="155"/>
        <v>0</v>
      </c>
      <c r="BR127" s="25">
        <f t="shared" si="119"/>
        <v>0.9903049736763011</v>
      </c>
      <c r="BS127" s="24">
        <f t="shared" si="145"/>
        <v>104488076</v>
      </c>
      <c r="BT127" s="24"/>
      <c r="BU127" s="24"/>
      <c r="BV127" s="24"/>
      <c r="BW127" s="24"/>
      <c r="BX127" s="24">
        <f>+'[4]DICIEMBRE 2016'!$O$3869</f>
        <v>104488076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1"/>
        <v>9.6950263236988965E-3</v>
      </c>
      <c r="CO127" s="24">
        <f t="shared" si="146"/>
        <v>1022932</v>
      </c>
      <c r="CP127" s="24">
        <f t="shared" si="156"/>
        <v>0</v>
      </c>
      <c r="CQ127" s="24">
        <f t="shared" si="156"/>
        <v>0</v>
      </c>
      <c r="CR127" s="24">
        <f t="shared" si="156"/>
        <v>0</v>
      </c>
      <c r="CS127" s="24">
        <f t="shared" si="156"/>
        <v>1022932</v>
      </c>
      <c r="CT127" s="24">
        <f t="shared" si="156"/>
        <v>0</v>
      </c>
      <c r="CU127" s="24">
        <f t="shared" si="156"/>
        <v>0</v>
      </c>
      <c r="CV127" s="24">
        <f t="shared" si="157"/>
        <v>0</v>
      </c>
      <c r="CW127" s="24">
        <f t="shared" si="157"/>
        <v>0</v>
      </c>
      <c r="CX127" s="24">
        <f t="shared" si="157"/>
        <v>0</v>
      </c>
      <c r="CY127" s="24">
        <f t="shared" si="158"/>
        <v>0</v>
      </c>
      <c r="CZ127" s="24">
        <f t="shared" si="158"/>
        <v>0</v>
      </c>
      <c r="DA127" s="24">
        <f t="shared" si="158"/>
        <v>0</v>
      </c>
      <c r="DB127" s="24">
        <f t="shared" si="159"/>
        <v>0</v>
      </c>
      <c r="DC127" s="24">
        <f t="shared" si="159"/>
        <v>0</v>
      </c>
      <c r="DD127" s="24">
        <f t="shared" si="159"/>
        <v>0</v>
      </c>
      <c r="DE127" s="24"/>
      <c r="DF127" s="24">
        <f t="shared" si="160"/>
        <v>0</v>
      </c>
      <c r="DG127" s="24">
        <f t="shared" si="160"/>
        <v>0</v>
      </c>
      <c r="DH127" s="24">
        <f t="shared" si="160"/>
        <v>0</v>
      </c>
      <c r="DJ127" s="194"/>
      <c r="DK127" s="194"/>
      <c r="DL127" s="198"/>
      <c r="DM127" s="199"/>
      <c r="DN127" s="200"/>
    </row>
    <row r="128" spans="1:118" ht="38.25" hidden="1" customHeight="1" x14ac:dyDescent="0.25">
      <c r="A128" s="246"/>
      <c r="B128" s="241"/>
      <c r="C128" s="69" t="s">
        <v>358</v>
      </c>
      <c r="D128" s="21" t="s">
        <v>359</v>
      </c>
      <c r="E128" s="94">
        <v>510</v>
      </c>
      <c r="F128" s="23" t="s">
        <v>355</v>
      </c>
      <c r="G128" s="24">
        <f t="shared" si="138"/>
        <v>10000000</v>
      </c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>
        <v>10000000</v>
      </c>
      <c r="T128" s="24"/>
      <c r="U128" s="24"/>
      <c r="V128" s="24"/>
      <c r="W128" s="24"/>
      <c r="X128" s="24"/>
      <c r="Y128" s="24"/>
      <c r="Z128" s="24"/>
      <c r="AA128" s="25">
        <f t="shared" si="111"/>
        <v>0.75760000000000005</v>
      </c>
      <c r="AB128" s="24">
        <f t="shared" si="139"/>
        <v>7576000</v>
      </c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>
        <f>+'[1]OCTUBRE 2016'!$W$3263</f>
        <v>7576000</v>
      </c>
      <c r="AP128" s="24"/>
      <c r="AQ128" s="24"/>
      <c r="AR128" s="24"/>
      <c r="AS128" s="24"/>
      <c r="AT128" s="24"/>
      <c r="AU128" s="24"/>
      <c r="AV128" s="24"/>
      <c r="AW128" s="25">
        <f t="shared" si="113"/>
        <v>0.24239999999999995</v>
      </c>
      <c r="AX128" s="24">
        <f t="shared" si="140"/>
        <v>2424000</v>
      </c>
      <c r="AY128" s="24">
        <f t="shared" si="152"/>
        <v>0</v>
      </c>
      <c r="AZ128" s="24">
        <f t="shared" si="152"/>
        <v>0</v>
      </c>
      <c r="BA128" s="24">
        <f t="shared" si="152"/>
        <v>0</v>
      </c>
      <c r="BB128" s="24">
        <f t="shared" si="153"/>
        <v>0</v>
      </c>
      <c r="BC128" s="24">
        <f t="shared" si="153"/>
        <v>0</v>
      </c>
      <c r="BD128" s="24">
        <f t="shared" si="153"/>
        <v>0</v>
      </c>
      <c r="BE128" s="24">
        <f t="shared" si="153"/>
        <v>0</v>
      </c>
      <c r="BF128" s="24">
        <f t="shared" si="153"/>
        <v>0</v>
      </c>
      <c r="BG128" s="24">
        <f t="shared" si="153"/>
        <v>0</v>
      </c>
      <c r="BH128" s="24">
        <f t="shared" si="153"/>
        <v>0</v>
      </c>
      <c r="BI128" s="24">
        <f t="shared" si="153"/>
        <v>0</v>
      </c>
      <c r="BJ128" s="24">
        <f t="shared" si="153"/>
        <v>2424000</v>
      </c>
      <c r="BK128" s="24">
        <f t="shared" si="153"/>
        <v>0</v>
      </c>
      <c r="BL128" s="24">
        <f t="shared" si="153"/>
        <v>0</v>
      </c>
      <c r="BM128" s="24">
        <f t="shared" si="153"/>
        <v>0</v>
      </c>
      <c r="BN128" s="24"/>
      <c r="BO128" s="24"/>
      <c r="BP128" s="24">
        <f t="shared" si="154"/>
        <v>0</v>
      </c>
      <c r="BQ128" s="24">
        <f t="shared" si="155"/>
        <v>0</v>
      </c>
      <c r="BR128" s="25">
        <f t="shared" si="119"/>
        <v>0.75760000000000005</v>
      </c>
      <c r="BS128" s="24">
        <f t="shared" si="145"/>
        <v>7576000</v>
      </c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>
        <f>+'[5]NOVIEMBRE 2016'!$H$3703</f>
        <v>7576000</v>
      </c>
      <c r="CG128" s="24"/>
      <c r="CH128" s="24"/>
      <c r="CI128" s="24"/>
      <c r="CJ128" s="24"/>
      <c r="CK128" s="24"/>
      <c r="CL128" s="24"/>
      <c r="CM128" s="24"/>
      <c r="CN128" s="25">
        <f t="shared" si="121"/>
        <v>0.24239999999999995</v>
      </c>
      <c r="CO128" s="24">
        <f t="shared" si="146"/>
        <v>2424000</v>
      </c>
      <c r="CP128" s="24">
        <f t="shared" si="156"/>
        <v>0</v>
      </c>
      <c r="CQ128" s="24">
        <f t="shared" si="156"/>
        <v>0</v>
      </c>
      <c r="CR128" s="24">
        <f t="shared" si="156"/>
        <v>0</v>
      </c>
      <c r="CS128" s="24">
        <f t="shared" si="156"/>
        <v>0</v>
      </c>
      <c r="CT128" s="24">
        <f t="shared" si="156"/>
        <v>0</v>
      </c>
      <c r="CU128" s="24">
        <f t="shared" si="156"/>
        <v>0</v>
      </c>
      <c r="CV128" s="24">
        <f t="shared" si="157"/>
        <v>0</v>
      </c>
      <c r="CW128" s="24">
        <f t="shared" si="157"/>
        <v>0</v>
      </c>
      <c r="CX128" s="24">
        <f t="shared" si="157"/>
        <v>0</v>
      </c>
      <c r="CY128" s="24">
        <f t="shared" si="158"/>
        <v>0</v>
      </c>
      <c r="CZ128" s="24">
        <f t="shared" si="158"/>
        <v>0</v>
      </c>
      <c r="DA128" s="24">
        <f t="shared" si="158"/>
        <v>2424000</v>
      </c>
      <c r="DB128" s="24">
        <f t="shared" si="159"/>
        <v>0</v>
      </c>
      <c r="DC128" s="24">
        <f t="shared" si="159"/>
        <v>0</v>
      </c>
      <c r="DD128" s="24">
        <f t="shared" si="159"/>
        <v>0</v>
      </c>
      <c r="DE128" s="24"/>
      <c r="DF128" s="24">
        <f t="shared" si="160"/>
        <v>0</v>
      </c>
      <c r="DG128" s="24">
        <f t="shared" si="160"/>
        <v>0</v>
      </c>
      <c r="DH128" s="24">
        <f t="shared" si="160"/>
        <v>0</v>
      </c>
      <c r="DJ128" s="302" t="s">
        <v>15</v>
      </c>
      <c r="DK128" s="302"/>
      <c r="DL128" s="198"/>
      <c r="DM128" s="199"/>
      <c r="DN128" s="200"/>
    </row>
    <row r="129" spans="1:118" ht="37.5" hidden="1" customHeight="1" x14ac:dyDescent="0.25">
      <c r="A129" s="246"/>
      <c r="B129" s="88" t="s">
        <v>360</v>
      </c>
      <c r="C129" s="69" t="s">
        <v>361</v>
      </c>
      <c r="D129" s="21" t="s">
        <v>362</v>
      </c>
      <c r="E129" s="94">
        <v>510</v>
      </c>
      <c r="F129" s="23" t="s">
        <v>355</v>
      </c>
      <c r="G129" s="24">
        <f t="shared" si="138"/>
        <v>80000000</v>
      </c>
      <c r="H129" s="24"/>
      <c r="I129" s="24"/>
      <c r="J129" s="24"/>
      <c r="K129" s="24">
        <v>80000000</v>
      </c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5">
        <f t="shared" si="111"/>
        <v>0.97971187500000001</v>
      </c>
      <c r="AB129" s="24">
        <f t="shared" si="139"/>
        <v>78376950</v>
      </c>
      <c r="AC129" s="24"/>
      <c r="AD129" s="24"/>
      <c r="AE129" s="24"/>
      <c r="AF129" s="24"/>
      <c r="AG129" s="24">
        <f>+'[5]NOVIEMBRE 2016'!$O$3715</f>
        <v>78376950</v>
      </c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5">
        <f t="shared" si="113"/>
        <v>2.028812499999999E-2</v>
      </c>
      <c r="AX129" s="24">
        <f t="shared" si="140"/>
        <v>1623050</v>
      </c>
      <c r="AY129" s="24">
        <f t="shared" si="152"/>
        <v>0</v>
      </c>
      <c r="AZ129" s="24">
        <f t="shared" si="152"/>
        <v>0</v>
      </c>
      <c r="BA129" s="24">
        <f t="shared" si="152"/>
        <v>0</v>
      </c>
      <c r="BB129" s="24">
        <f t="shared" si="153"/>
        <v>1623050</v>
      </c>
      <c r="BC129" s="24">
        <f t="shared" si="153"/>
        <v>0</v>
      </c>
      <c r="BD129" s="24">
        <f t="shared" si="153"/>
        <v>0</v>
      </c>
      <c r="BE129" s="24">
        <f t="shared" si="153"/>
        <v>0</v>
      </c>
      <c r="BF129" s="24">
        <f t="shared" si="153"/>
        <v>0</v>
      </c>
      <c r="BG129" s="24">
        <f t="shared" si="153"/>
        <v>0</v>
      </c>
      <c r="BH129" s="24">
        <f t="shared" si="153"/>
        <v>0</v>
      </c>
      <c r="BI129" s="24">
        <f t="shared" si="153"/>
        <v>0</v>
      </c>
      <c r="BJ129" s="24">
        <f t="shared" si="153"/>
        <v>0</v>
      </c>
      <c r="BK129" s="24">
        <f t="shared" si="153"/>
        <v>0</v>
      </c>
      <c r="BL129" s="24">
        <f t="shared" si="153"/>
        <v>0</v>
      </c>
      <c r="BM129" s="24">
        <f t="shared" si="153"/>
        <v>0</v>
      </c>
      <c r="BN129" s="24"/>
      <c r="BO129" s="24"/>
      <c r="BP129" s="24">
        <f t="shared" si="154"/>
        <v>0</v>
      </c>
      <c r="BQ129" s="24">
        <f t="shared" si="155"/>
        <v>0</v>
      </c>
      <c r="BR129" s="25">
        <f t="shared" si="119"/>
        <v>0.97971187500000001</v>
      </c>
      <c r="BS129" s="24">
        <f t="shared" si="145"/>
        <v>78376950</v>
      </c>
      <c r="BT129" s="24"/>
      <c r="BU129" s="24"/>
      <c r="BV129" s="24"/>
      <c r="BW129" s="24"/>
      <c r="BX129" s="24">
        <f>+'[14]MARZO 2016 ULTIMO'!$H$1027</f>
        <v>78376950</v>
      </c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5">
        <f t="shared" si="121"/>
        <v>2.028812499999999E-2</v>
      </c>
      <c r="CO129" s="24">
        <f t="shared" si="146"/>
        <v>1623050</v>
      </c>
      <c r="CP129" s="24">
        <f t="shared" si="156"/>
        <v>0</v>
      </c>
      <c r="CQ129" s="24">
        <f t="shared" si="156"/>
        <v>0</v>
      </c>
      <c r="CR129" s="24">
        <f t="shared" si="156"/>
        <v>0</v>
      </c>
      <c r="CS129" s="24">
        <f t="shared" si="156"/>
        <v>1623050</v>
      </c>
      <c r="CT129" s="24">
        <f t="shared" si="156"/>
        <v>0</v>
      </c>
      <c r="CU129" s="24">
        <f t="shared" si="156"/>
        <v>0</v>
      </c>
      <c r="CV129" s="24">
        <f t="shared" si="157"/>
        <v>0</v>
      </c>
      <c r="CW129" s="24">
        <f t="shared" si="157"/>
        <v>0</v>
      </c>
      <c r="CX129" s="24">
        <f t="shared" si="157"/>
        <v>0</v>
      </c>
      <c r="CY129" s="24">
        <f t="shared" si="158"/>
        <v>0</v>
      </c>
      <c r="CZ129" s="24">
        <f t="shared" si="158"/>
        <v>0</v>
      </c>
      <c r="DA129" s="24">
        <f t="shared" si="158"/>
        <v>0</v>
      </c>
      <c r="DB129" s="24">
        <f t="shared" si="159"/>
        <v>0</v>
      </c>
      <c r="DC129" s="24">
        <f t="shared" si="159"/>
        <v>0</v>
      </c>
      <c r="DD129" s="24">
        <f t="shared" si="159"/>
        <v>0</v>
      </c>
      <c r="DE129" s="24"/>
      <c r="DF129" s="24">
        <f t="shared" si="160"/>
        <v>0</v>
      </c>
      <c r="DG129" s="24">
        <f t="shared" si="160"/>
        <v>0</v>
      </c>
      <c r="DH129" s="24">
        <f t="shared" si="160"/>
        <v>0</v>
      </c>
      <c r="DJ129" s="194"/>
      <c r="DK129" s="194"/>
      <c r="DL129" s="198"/>
      <c r="DM129" s="199"/>
      <c r="DN129" s="200"/>
    </row>
    <row r="130" spans="1:118" ht="35.25" hidden="1" customHeight="1" x14ac:dyDescent="0.25">
      <c r="A130" s="246"/>
      <c r="B130" s="88" t="s">
        <v>363</v>
      </c>
      <c r="C130" s="69" t="s">
        <v>364</v>
      </c>
      <c r="D130" s="21" t="s">
        <v>365</v>
      </c>
      <c r="E130" s="94">
        <v>510</v>
      </c>
      <c r="F130" s="23" t="s">
        <v>366</v>
      </c>
      <c r="G130" s="24">
        <f t="shared" si="138"/>
        <v>110000000</v>
      </c>
      <c r="H130" s="24"/>
      <c r="I130" s="24"/>
      <c r="J130" s="24"/>
      <c r="K130" s="24">
        <v>110000000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1"/>
        <v>0.97727465454545459</v>
      </c>
      <c r="AB130" s="24">
        <f t="shared" si="139"/>
        <v>107500212</v>
      </c>
      <c r="AC130" s="24"/>
      <c r="AD130" s="24"/>
      <c r="AE130" s="24"/>
      <c r="AF130" s="24"/>
      <c r="AG130" s="24">
        <f>+'[5]NOVIEMBRE 2016'!$O$3728</f>
        <v>107500212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13"/>
        <v>2.2725345454545409E-2</v>
      </c>
      <c r="AX130" s="24">
        <f t="shared" si="140"/>
        <v>2499788</v>
      </c>
      <c r="AY130" s="24">
        <f t="shared" si="152"/>
        <v>0</v>
      </c>
      <c r="AZ130" s="24">
        <f t="shared" si="152"/>
        <v>0</v>
      </c>
      <c r="BA130" s="24">
        <f t="shared" si="152"/>
        <v>0</v>
      </c>
      <c r="BB130" s="24">
        <f t="shared" si="153"/>
        <v>2499788</v>
      </c>
      <c r="BC130" s="24">
        <f t="shared" si="153"/>
        <v>0</v>
      </c>
      <c r="BD130" s="24">
        <f t="shared" si="153"/>
        <v>0</v>
      </c>
      <c r="BE130" s="24">
        <f t="shared" si="153"/>
        <v>0</v>
      </c>
      <c r="BF130" s="24">
        <f t="shared" si="153"/>
        <v>0</v>
      </c>
      <c r="BG130" s="24">
        <f t="shared" si="153"/>
        <v>0</v>
      </c>
      <c r="BH130" s="24">
        <f t="shared" si="153"/>
        <v>0</v>
      </c>
      <c r="BI130" s="24">
        <f t="shared" si="153"/>
        <v>0</v>
      </c>
      <c r="BJ130" s="24">
        <f t="shared" si="153"/>
        <v>0</v>
      </c>
      <c r="BK130" s="24">
        <f t="shared" si="153"/>
        <v>0</v>
      </c>
      <c r="BL130" s="24">
        <f t="shared" si="153"/>
        <v>0</v>
      </c>
      <c r="BM130" s="24">
        <f t="shared" si="153"/>
        <v>0</v>
      </c>
      <c r="BN130" s="24"/>
      <c r="BO130" s="24"/>
      <c r="BP130" s="24">
        <f t="shared" si="154"/>
        <v>0</v>
      </c>
      <c r="BQ130" s="24">
        <f t="shared" si="155"/>
        <v>0</v>
      </c>
      <c r="BR130" s="25">
        <f t="shared" si="119"/>
        <v>0.97727465454545459</v>
      </c>
      <c r="BS130" s="24">
        <f t="shared" si="145"/>
        <v>107500212</v>
      </c>
      <c r="BT130" s="24"/>
      <c r="BU130" s="24"/>
      <c r="BV130" s="24"/>
      <c r="BW130" s="24"/>
      <c r="BX130" s="24">
        <f>+'[10]SEPTIEMBRE 2016'!$H$2935</f>
        <v>107500212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1"/>
        <v>2.2725345454545409E-2</v>
      </c>
      <c r="CO130" s="24">
        <f t="shared" si="146"/>
        <v>2499788</v>
      </c>
      <c r="CP130" s="24">
        <f t="shared" si="156"/>
        <v>0</v>
      </c>
      <c r="CQ130" s="24">
        <f t="shared" si="156"/>
        <v>0</v>
      </c>
      <c r="CR130" s="24">
        <f t="shared" si="156"/>
        <v>0</v>
      </c>
      <c r="CS130" s="24">
        <f t="shared" si="156"/>
        <v>2499788</v>
      </c>
      <c r="CT130" s="24">
        <f t="shared" si="156"/>
        <v>0</v>
      </c>
      <c r="CU130" s="24">
        <f t="shared" si="156"/>
        <v>0</v>
      </c>
      <c r="CV130" s="24">
        <f t="shared" si="157"/>
        <v>0</v>
      </c>
      <c r="CW130" s="24">
        <f t="shared" si="157"/>
        <v>0</v>
      </c>
      <c r="CX130" s="24">
        <f t="shared" si="157"/>
        <v>0</v>
      </c>
      <c r="CY130" s="24">
        <f t="shared" si="158"/>
        <v>0</v>
      </c>
      <c r="CZ130" s="24">
        <f t="shared" si="158"/>
        <v>0</v>
      </c>
      <c r="DA130" s="24">
        <f t="shared" si="158"/>
        <v>0</v>
      </c>
      <c r="DB130" s="24">
        <f t="shared" si="159"/>
        <v>0</v>
      </c>
      <c r="DC130" s="24">
        <f t="shared" si="159"/>
        <v>0</v>
      </c>
      <c r="DD130" s="24">
        <f t="shared" si="159"/>
        <v>0</v>
      </c>
      <c r="DE130" s="24"/>
      <c r="DF130" s="24">
        <f t="shared" si="160"/>
        <v>0</v>
      </c>
      <c r="DG130" s="24">
        <f t="shared" si="160"/>
        <v>0</v>
      </c>
      <c r="DH130" s="24">
        <f t="shared" si="160"/>
        <v>0</v>
      </c>
      <c r="DJ130" s="303"/>
      <c r="DK130" s="303"/>
      <c r="DL130" s="198"/>
      <c r="DM130" s="199"/>
      <c r="DN130" s="200"/>
    </row>
    <row r="131" spans="1:118" ht="41.25" hidden="1" customHeight="1" x14ac:dyDescent="0.25">
      <c r="A131" s="247"/>
      <c r="B131" s="88" t="s">
        <v>367</v>
      </c>
      <c r="C131" s="69" t="s">
        <v>368</v>
      </c>
      <c r="D131" s="21" t="s">
        <v>369</v>
      </c>
      <c r="E131" s="94">
        <v>310</v>
      </c>
      <c r="F131" s="23" t="s">
        <v>370</v>
      </c>
      <c r="G131" s="24">
        <f t="shared" si="138"/>
        <v>235146880</v>
      </c>
      <c r="H131" s="24"/>
      <c r="I131" s="24"/>
      <c r="J131" s="24"/>
      <c r="K131" s="24">
        <f>243168096-40000000</f>
        <v>203168096</v>
      </c>
      <c r="L131" s="24"/>
      <c r="M131" s="24"/>
      <c r="N131" s="24"/>
      <c r="O131" s="24"/>
      <c r="P131" s="24"/>
      <c r="Q131" s="24"/>
      <c r="R131" s="24">
        <v>4978784</v>
      </c>
      <c r="S131" s="24"/>
      <c r="T131" s="24"/>
      <c r="U131" s="24"/>
      <c r="V131" s="24"/>
      <c r="W131" s="24"/>
      <c r="X131" s="24"/>
      <c r="Y131" s="24"/>
      <c r="Z131" s="24">
        <f>25000000+2000000</f>
        <v>27000000</v>
      </c>
      <c r="AA131" s="25">
        <f t="shared" si="111"/>
        <v>0.64452944899800502</v>
      </c>
      <c r="AB131" s="24">
        <f t="shared" si="139"/>
        <v>151559089</v>
      </c>
      <c r="AC131" s="24"/>
      <c r="AD131" s="24"/>
      <c r="AE131" s="24"/>
      <c r="AF131" s="24"/>
      <c r="AG131" s="24">
        <f>+'[4]DICIEMBRE 2016'!$O$935</f>
        <v>146972351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>
        <f>+'[9]AGOSTO 2016'!$AG$556</f>
        <v>4586738</v>
      </c>
      <c r="AW131" s="25">
        <f t="shared" si="113"/>
        <v>0.35547055100199498</v>
      </c>
      <c r="AX131" s="24">
        <f t="shared" si="140"/>
        <v>83587791</v>
      </c>
      <c r="AY131" s="24">
        <f t="shared" si="152"/>
        <v>0</v>
      </c>
      <c r="AZ131" s="24">
        <f t="shared" si="152"/>
        <v>0</v>
      </c>
      <c r="BA131" s="24">
        <f t="shared" si="152"/>
        <v>0</v>
      </c>
      <c r="BB131" s="24">
        <f t="shared" si="153"/>
        <v>56195745</v>
      </c>
      <c r="BC131" s="24">
        <f t="shared" si="153"/>
        <v>0</v>
      </c>
      <c r="BD131" s="24">
        <f t="shared" si="153"/>
        <v>0</v>
      </c>
      <c r="BE131" s="24">
        <f t="shared" si="153"/>
        <v>0</v>
      </c>
      <c r="BF131" s="24">
        <f t="shared" si="153"/>
        <v>0</v>
      </c>
      <c r="BG131" s="24">
        <f t="shared" si="153"/>
        <v>0</v>
      </c>
      <c r="BH131" s="24">
        <f t="shared" si="153"/>
        <v>0</v>
      </c>
      <c r="BI131" s="24">
        <f t="shared" si="153"/>
        <v>4978784</v>
      </c>
      <c r="BJ131" s="24">
        <f t="shared" si="153"/>
        <v>0</v>
      </c>
      <c r="BK131" s="24">
        <f t="shared" si="153"/>
        <v>0</v>
      </c>
      <c r="BL131" s="24">
        <f t="shared" si="153"/>
        <v>0</v>
      </c>
      <c r="BM131" s="24">
        <f t="shared" si="153"/>
        <v>0</v>
      </c>
      <c r="BN131" s="24"/>
      <c r="BO131" s="24"/>
      <c r="BP131" s="24">
        <f t="shared" si="154"/>
        <v>0</v>
      </c>
      <c r="BQ131" s="24">
        <f t="shared" si="155"/>
        <v>22413262</v>
      </c>
      <c r="BR131" s="25">
        <f t="shared" si="119"/>
        <v>0.64452944899800502</v>
      </c>
      <c r="BS131" s="24">
        <f t="shared" si="145"/>
        <v>151559089</v>
      </c>
      <c r="BT131" s="24"/>
      <c r="BU131" s="24"/>
      <c r="BV131" s="24"/>
      <c r="BW131" s="24"/>
      <c r="BX131" s="24">
        <f>+'[4]DICIEMBRE 2016'!$O$935</f>
        <v>146972351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>
        <f>+'[1]OCTUBRE 2016'!$H$870+'[1]OCTUBRE 2016'!$H$871+'[1]OCTUBRE 2016'!$H$856</f>
        <v>4586738</v>
      </c>
      <c r="CN131" s="25">
        <f t="shared" si="121"/>
        <v>0.35547055100199498</v>
      </c>
      <c r="CO131" s="24">
        <f t="shared" si="146"/>
        <v>83587791</v>
      </c>
      <c r="CP131" s="24">
        <f t="shared" si="156"/>
        <v>0</v>
      </c>
      <c r="CQ131" s="24">
        <f t="shared" si="156"/>
        <v>0</v>
      </c>
      <c r="CR131" s="24">
        <f t="shared" si="156"/>
        <v>0</v>
      </c>
      <c r="CS131" s="24">
        <f t="shared" si="156"/>
        <v>56195745</v>
      </c>
      <c r="CT131" s="24">
        <f t="shared" si="156"/>
        <v>0</v>
      </c>
      <c r="CU131" s="24">
        <f t="shared" si="156"/>
        <v>0</v>
      </c>
      <c r="CV131" s="24">
        <f t="shared" si="157"/>
        <v>0</v>
      </c>
      <c r="CW131" s="24">
        <f t="shared" si="157"/>
        <v>0</v>
      </c>
      <c r="CX131" s="24">
        <f t="shared" si="157"/>
        <v>0</v>
      </c>
      <c r="CY131" s="24">
        <f t="shared" si="158"/>
        <v>0</v>
      </c>
      <c r="CZ131" s="24">
        <f t="shared" si="158"/>
        <v>4978784</v>
      </c>
      <c r="DA131" s="24">
        <f t="shared" si="158"/>
        <v>0</v>
      </c>
      <c r="DB131" s="24">
        <f t="shared" si="159"/>
        <v>0</v>
      </c>
      <c r="DC131" s="24">
        <f t="shared" si="159"/>
        <v>0</v>
      </c>
      <c r="DD131" s="24">
        <f t="shared" si="159"/>
        <v>0</v>
      </c>
      <c r="DE131" s="24"/>
      <c r="DF131" s="24">
        <f t="shared" si="160"/>
        <v>0</v>
      </c>
      <c r="DG131" s="24">
        <f t="shared" si="160"/>
        <v>0</v>
      </c>
      <c r="DH131" s="24">
        <f t="shared" si="160"/>
        <v>22413262</v>
      </c>
      <c r="DJ131" s="194" t="s">
        <v>413</v>
      </c>
      <c r="DK131" s="194"/>
      <c r="DL131" s="198"/>
      <c r="DM131" s="199"/>
      <c r="DN131" s="200"/>
    </row>
    <row r="132" spans="1:118" s="43" customFormat="1" ht="18.75" customHeight="1" thickTop="1" thickBot="1" x14ac:dyDescent="0.3">
      <c r="A132" s="97"/>
      <c r="B132" s="295" t="s">
        <v>395</v>
      </c>
      <c r="C132" s="296"/>
      <c r="D132" s="296"/>
      <c r="E132" s="98"/>
      <c r="F132" s="99"/>
      <c r="G132" s="61">
        <f t="shared" ref="G132:Z132" si="161">SUM(G113:G131)</f>
        <v>12695395182</v>
      </c>
      <c r="H132" s="61">
        <f t="shared" si="161"/>
        <v>0</v>
      </c>
      <c r="I132" s="61">
        <f t="shared" si="161"/>
        <v>7357828308</v>
      </c>
      <c r="J132" s="61">
        <f t="shared" si="161"/>
        <v>171003327</v>
      </c>
      <c r="K132" s="61">
        <f t="shared" si="161"/>
        <v>590168096</v>
      </c>
      <c r="L132" s="61">
        <f t="shared" si="161"/>
        <v>0</v>
      </c>
      <c r="M132" s="61">
        <f t="shared" si="161"/>
        <v>54387</v>
      </c>
      <c r="N132" s="61">
        <f t="shared" si="161"/>
        <v>30665828</v>
      </c>
      <c r="O132" s="61">
        <f t="shared" si="161"/>
        <v>1940856</v>
      </c>
      <c r="P132" s="61">
        <f t="shared" si="161"/>
        <v>3438802</v>
      </c>
      <c r="Q132" s="61">
        <f t="shared" si="161"/>
        <v>345941457</v>
      </c>
      <c r="R132" s="61">
        <f t="shared" si="161"/>
        <v>4978784</v>
      </c>
      <c r="S132" s="61">
        <f t="shared" si="161"/>
        <v>390000000</v>
      </c>
      <c r="T132" s="61">
        <f t="shared" si="161"/>
        <v>485000000</v>
      </c>
      <c r="U132" s="61">
        <f t="shared" si="161"/>
        <v>6000000</v>
      </c>
      <c r="V132" s="61">
        <f t="shared" si="161"/>
        <v>0</v>
      </c>
      <c r="W132" s="61">
        <f t="shared" si="161"/>
        <v>0</v>
      </c>
      <c r="X132" s="61">
        <f t="shared" si="161"/>
        <v>2700000000</v>
      </c>
      <c r="Y132" s="61">
        <f t="shared" si="161"/>
        <v>0</v>
      </c>
      <c r="Z132" s="61">
        <f t="shared" si="161"/>
        <v>608375337</v>
      </c>
      <c r="AA132" s="159">
        <f t="shared" si="111"/>
        <v>0.79239213469014802</v>
      </c>
      <c r="AB132" s="61">
        <f>SUM(AB113:AB131)</f>
        <v>10059731289</v>
      </c>
      <c r="AC132" s="61"/>
      <c r="AD132" s="61">
        <f t="shared" ref="AD132:AV132" si="162">SUM(AD113:AD131)</f>
        <v>0</v>
      </c>
      <c r="AE132" s="61">
        <f t="shared" si="162"/>
        <v>5959563249</v>
      </c>
      <c r="AF132" s="61">
        <f t="shared" si="162"/>
        <v>149170600</v>
      </c>
      <c r="AG132" s="61">
        <f t="shared" si="162"/>
        <v>528492581</v>
      </c>
      <c r="AH132" s="61">
        <f t="shared" si="162"/>
        <v>0</v>
      </c>
      <c r="AI132" s="61">
        <f t="shared" si="162"/>
        <v>0</v>
      </c>
      <c r="AJ132" s="61">
        <f t="shared" si="162"/>
        <v>0</v>
      </c>
      <c r="AK132" s="61">
        <f t="shared" si="162"/>
        <v>0</v>
      </c>
      <c r="AL132" s="61">
        <f t="shared" si="162"/>
        <v>3438802</v>
      </c>
      <c r="AM132" s="61">
        <f t="shared" si="162"/>
        <v>169852012</v>
      </c>
      <c r="AN132" s="61">
        <f t="shared" si="162"/>
        <v>0</v>
      </c>
      <c r="AO132" s="61">
        <f t="shared" si="162"/>
        <v>381016367</v>
      </c>
      <c r="AP132" s="61">
        <f t="shared" si="162"/>
        <v>451915027</v>
      </c>
      <c r="AQ132" s="61">
        <f t="shared" si="162"/>
        <v>5652704</v>
      </c>
      <c r="AR132" s="61">
        <f t="shared" si="162"/>
        <v>0</v>
      </c>
      <c r="AS132" s="61">
        <f t="shared" si="162"/>
        <v>0</v>
      </c>
      <c r="AT132" s="61">
        <f t="shared" si="162"/>
        <v>2032628341</v>
      </c>
      <c r="AU132" s="61">
        <f t="shared" si="162"/>
        <v>0</v>
      </c>
      <c r="AV132" s="61">
        <f t="shared" si="162"/>
        <v>378001606</v>
      </c>
      <c r="AW132" s="159">
        <f t="shared" si="113"/>
        <v>0.20760786530985198</v>
      </c>
      <c r="AX132" s="61">
        <f>SUM(AX113:AX131)</f>
        <v>2635663893</v>
      </c>
      <c r="AY132" s="61">
        <f t="shared" ref="AY132:BQ132" si="163">SUM(AY113:AY131)</f>
        <v>0</v>
      </c>
      <c r="AZ132" s="61">
        <f t="shared" si="163"/>
        <v>1398265059</v>
      </c>
      <c r="BA132" s="61">
        <f t="shared" si="163"/>
        <v>21832727</v>
      </c>
      <c r="BB132" s="61">
        <f t="shared" si="163"/>
        <v>61675515</v>
      </c>
      <c r="BC132" s="61">
        <f t="shared" si="163"/>
        <v>0</v>
      </c>
      <c r="BD132" s="61">
        <f t="shared" si="163"/>
        <v>54387</v>
      </c>
      <c r="BE132" s="61">
        <f t="shared" si="163"/>
        <v>30665828</v>
      </c>
      <c r="BF132" s="61">
        <f t="shared" si="163"/>
        <v>1940856</v>
      </c>
      <c r="BG132" s="61">
        <f t="shared" si="163"/>
        <v>0</v>
      </c>
      <c r="BH132" s="61">
        <f t="shared" si="163"/>
        <v>176089445</v>
      </c>
      <c r="BI132" s="61">
        <f t="shared" si="163"/>
        <v>4978784</v>
      </c>
      <c r="BJ132" s="61">
        <f t="shared" si="163"/>
        <v>8983633</v>
      </c>
      <c r="BK132" s="61">
        <f t="shared" si="163"/>
        <v>33084973</v>
      </c>
      <c r="BL132" s="61">
        <f t="shared" si="163"/>
        <v>347296</v>
      </c>
      <c r="BM132" s="61">
        <f t="shared" si="163"/>
        <v>0</v>
      </c>
      <c r="BN132" s="61">
        <f t="shared" si="163"/>
        <v>0</v>
      </c>
      <c r="BO132" s="61">
        <f t="shared" si="163"/>
        <v>667371659</v>
      </c>
      <c r="BP132" s="61">
        <f t="shared" si="163"/>
        <v>0</v>
      </c>
      <c r="BQ132" s="61">
        <f t="shared" si="163"/>
        <v>230373731</v>
      </c>
      <c r="BR132" s="39">
        <f t="shared" si="119"/>
        <v>0.79239213469014802</v>
      </c>
      <c r="BS132" s="61">
        <f t="shared" ref="BS132:CI132" si="164">SUM(BS113:BS131)</f>
        <v>10059731289</v>
      </c>
      <c r="BT132" s="61">
        <f t="shared" si="164"/>
        <v>0</v>
      </c>
      <c r="BU132" s="61">
        <f t="shared" si="164"/>
        <v>0</v>
      </c>
      <c r="BV132" s="61">
        <f t="shared" si="164"/>
        <v>5959563249</v>
      </c>
      <c r="BW132" s="61">
        <f t="shared" si="164"/>
        <v>149170600</v>
      </c>
      <c r="BX132" s="61">
        <f t="shared" si="164"/>
        <v>528492581</v>
      </c>
      <c r="BY132" s="61">
        <f t="shared" si="164"/>
        <v>0</v>
      </c>
      <c r="BZ132" s="61">
        <f t="shared" si="164"/>
        <v>0</v>
      </c>
      <c r="CA132" s="61">
        <f t="shared" si="164"/>
        <v>0</v>
      </c>
      <c r="CB132" s="61">
        <f t="shared" si="164"/>
        <v>0</v>
      </c>
      <c r="CC132" s="61">
        <f t="shared" si="164"/>
        <v>3438802</v>
      </c>
      <c r="CD132" s="61">
        <f t="shared" si="164"/>
        <v>169852012</v>
      </c>
      <c r="CE132" s="61">
        <f t="shared" si="164"/>
        <v>0</v>
      </c>
      <c r="CF132" s="61">
        <f t="shared" si="164"/>
        <v>381016367</v>
      </c>
      <c r="CG132" s="61">
        <f t="shared" si="164"/>
        <v>451915027</v>
      </c>
      <c r="CH132" s="61">
        <f t="shared" si="164"/>
        <v>5652704</v>
      </c>
      <c r="CI132" s="61">
        <f t="shared" si="164"/>
        <v>0</v>
      </c>
      <c r="CJ132" s="61"/>
      <c r="CK132" s="61">
        <f>SUM(CK113:CK131)</f>
        <v>2032628341</v>
      </c>
      <c r="CL132" s="61">
        <f>SUM(CL113:CL131)</f>
        <v>0</v>
      </c>
      <c r="CM132" s="61">
        <f>SUM(CM113:CM131)</f>
        <v>378001606</v>
      </c>
      <c r="CN132" s="39">
        <f t="shared" si="121"/>
        <v>0.20760786530985198</v>
      </c>
      <c r="CO132" s="61">
        <f t="shared" ref="CO132:DH132" si="165">SUM(CO113:CO131)</f>
        <v>2635663893</v>
      </c>
      <c r="CP132" s="61">
        <f t="shared" si="165"/>
        <v>0</v>
      </c>
      <c r="CQ132" s="61">
        <f t="shared" si="165"/>
        <v>1398265059</v>
      </c>
      <c r="CR132" s="61">
        <f t="shared" si="165"/>
        <v>21832727</v>
      </c>
      <c r="CS132" s="61">
        <f t="shared" si="165"/>
        <v>61675515</v>
      </c>
      <c r="CT132" s="61">
        <f t="shared" si="165"/>
        <v>0</v>
      </c>
      <c r="CU132" s="61">
        <f t="shared" si="165"/>
        <v>54387</v>
      </c>
      <c r="CV132" s="61">
        <f t="shared" si="165"/>
        <v>30665828</v>
      </c>
      <c r="CW132" s="61">
        <f t="shared" si="165"/>
        <v>1940856</v>
      </c>
      <c r="CX132" s="61">
        <f t="shared" si="165"/>
        <v>0</v>
      </c>
      <c r="CY132" s="61">
        <f t="shared" si="165"/>
        <v>176089445</v>
      </c>
      <c r="CZ132" s="61">
        <f t="shared" si="165"/>
        <v>4978784</v>
      </c>
      <c r="DA132" s="61">
        <f t="shared" si="165"/>
        <v>8983633</v>
      </c>
      <c r="DB132" s="61">
        <f t="shared" si="165"/>
        <v>33084973</v>
      </c>
      <c r="DC132" s="61">
        <f t="shared" si="165"/>
        <v>347296</v>
      </c>
      <c r="DD132" s="61">
        <f t="shared" si="165"/>
        <v>0</v>
      </c>
      <c r="DE132" s="61">
        <f t="shared" si="165"/>
        <v>0</v>
      </c>
      <c r="DF132" s="61">
        <f t="shared" si="165"/>
        <v>667371659</v>
      </c>
      <c r="DG132" s="61">
        <f t="shared" si="165"/>
        <v>0</v>
      </c>
      <c r="DH132" s="61">
        <f t="shared" si="165"/>
        <v>230373731</v>
      </c>
      <c r="DJ132" s="304" t="s">
        <v>413</v>
      </c>
      <c r="DK132" s="304"/>
      <c r="DL132" s="198">
        <v>12695395182</v>
      </c>
      <c r="DM132" s="198">
        <v>10059731289</v>
      </c>
      <c r="DN132" s="200">
        <v>0.79239999999999999</v>
      </c>
    </row>
    <row r="133" spans="1:118" ht="15.75" thickTop="1" x14ac:dyDescent="0.25">
      <c r="C133" s="100"/>
      <c r="D133" s="100"/>
      <c r="E133" s="100"/>
      <c r="F133" s="100"/>
      <c r="G133" s="101"/>
      <c r="H133" s="101"/>
      <c r="I133" s="102"/>
      <c r="J133" s="101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4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104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104"/>
      <c r="BS133" s="105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104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J133" s="302" t="s">
        <v>15</v>
      </c>
      <c r="DK133" s="302"/>
      <c r="DL133" s="198">
        <f>DL20+DL60+DL93+DL112+DL132</f>
        <v>25274746575</v>
      </c>
      <c r="DM133" s="198">
        <f>DM20+DM60+DM93+DM112+DM132</f>
        <v>21104696463</v>
      </c>
      <c r="DN133" s="200">
        <v>0.83499999999999996</v>
      </c>
    </row>
    <row r="134" spans="1:118" ht="19.5" customHeight="1" x14ac:dyDescent="0.25">
      <c r="C134" s="263" t="s">
        <v>372</v>
      </c>
      <c r="D134" s="264"/>
      <c r="E134" s="265"/>
      <c r="F134" s="106"/>
      <c r="G134" s="47">
        <f t="shared" ref="G134:Z134" si="166">G20+G60+G93+G112+G132</f>
        <v>25274746575</v>
      </c>
      <c r="H134" s="47">
        <f t="shared" si="166"/>
        <v>200000000</v>
      </c>
      <c r="I134" s="47">
        <f t="shared" si="166"/>
        <v>10524093099</v>
      </c>
      <c r="J134" s="47">
        <f t="shared" si="166"/>
        <v>171003327</v>
      </c>
      <c r="K134" s="47">
        <f t="shared" si="166"/>
        <v>2601016897</v>
      </c>
      <c r="L134" s="47">
        <f t="shared" si="166"/>
        <v>138372986</v>
      </c>
      <c r="M134" s="47">
        <f t="shared" si="166"/>
        <v>54387</v>
      </c>
      <c r="N134" s="47">
        <f t="shared" si="166"/>
        <v>30665828</v>
      </c>
      <c r="O134" s="47">
        <f t="shared" si="166"/>
        <v>1940856</v>
      </c>
      <c r="P134" s="47">
        <f t="shared" si="166"/>
        <v>3438802</v>
      </c>
      <c r="Q134" s="47">
        <f t="shared" si="166"/>
        <v>345941457</v>
      </c>
      <c r="R134" s="47">
        <f t="shared" si="166"/>
        <v>2356622849</v>
      </c>
      <c r="S134" s="47">
        <f t="shared" si="166"/>
        <v>1142029623</v>
      </c>
      <c r="T134" s="47">
        <f t="shared" si="166"/>
        <v>486796640</v>
      </c>
      <c r="U134" s="47">
        <f t="shared" si="166"/>
        <v>1306076765</v>
      </c>
      <c r="V134" s="47">
        <f t="shared" si="166"/>
        <v>1262551657</v>
      </c>
      <c r="W134" s="47">
        <f t="shared" si="166"/>
        <v>101970259</v>
      </c>
      <c r="X134" s="47">
        <f t="shared" si="166"/>
        <v>2700000000</v>
      </c>
      <c r="Y134" s="47">
        <f t="shared" si="166"/>
        <v>204741836</v>
      </c>
      <c r="Z134" s="47">
        <f t="shared" si="166"/>
        <v>1697429307</v>
      </c>
      <c r="AA134" s="107">
        <f>+AB134/G134</f>
        <v>0.83501119983039829</v>
      </c>
      <c r="AB134" s="47">
        <f>AB20+AB60+AB93+AB112+AB132</f>
        <v>21104696463</v>
      </c>
      <c r="AC134" s="47"/>
      <c r="AD134" s="47">
        <f t="shared" ref="AD134:AV134" si="167">AD20+AD60+AD93+AD112+AD132</f>
        <v>193150942</v>
      </c>
      <c r="AE134" s="47">
        <f t="shared" si="167"/>
        <v>8619316167</v>
      </c>
      <c r="AF134" s="47">
        <f t="shared" si="167"/>
        <v>149170600</v>
      </c>
      <c r="AG134" s="47">
        <f t="shared" si="167"/>
        <v>2322982287</v>
      </c>
      <c r="AH134" s="47">
        <f t="shared" si="167"/>
        <v>126368270</v>
      </c>
      <c r="AI134" s="47">
        <f t="shared" si="167"/>
        <v>0</v>
      </c>
      <c r="AJ134" s="47">
        <f t="shared" si="167"/>
        <v>0</v>
      </c>
      <c r="AK134" s="47">
        <f t="shared" si="167"/>
        <v>0</v>
      </c>
      <c r="AL134" s="47">
        <f t="shared" si="167"/>
        <v>3438802</v>
      </c>
      <c r="AM134" s="47">
        <f t="shared" si="167"/>
        <v>169852012</v>
      </c>
      <c r="AN134" s="47">
        <f t="shared" si="167"/>
        <v>1917215673</v>
      </c>
      <c r="AO134" s="47">
        <f t="shared" si="167"/>
        <v>1111858722</v>
      </c>
      <c r="AP134" s="47">
        <f t="shared" si="167"/>
        <v>453711667</v>
      </c>
      <c r="AQ134" s="47">
        <f t="shared" si="167"/>
        <v>1225177858</v>
      </c>
      <c r="AR134" s="47">
        <f t="shared" si="167"/>
        <v>1205496037</v>
      </c>
      <c r="AS134" s="47">
        <f t="shared" si="167"/>
        <v>85302101</v>
      </c>
      <c r="AT134" s="47">
        <f t="shared" si="167"/>
        <v>2032628341</v>
      </c>
      <c r="AU134" s="47">
        <f t="shared" si="167"/>
        <v>111779461</v>
      </c>
      <c r="AV134" s="47">
        <f t="shared" si="167"/>
        <v>1377247523</v>
      </c>
      <c r="AW134" s="108">
        <f>1-AA134</f>
        <v>0.16498880016960171</v>
      </c>
      <c r="AX134" s="47">
        <f t="shared" ref="AX134:BQ134" si="168">AX20+AX60+AX93+AX112+AX132</f>
        <v>4170050112</v>
      </c>
      <c r="AY134" s="47">
        <f t="shared" si="168"/>
        <v>6849058</v>
      </c>
      <c r="AZ134" s="47">
        <f t="shared" si="168"/>
        <v>1904776932</v>
      </c>
      <c r="BA134" s="47">
        <f t="shared" si="168"/>
        <v>21832727</v>
      </c>
      <c r="BB134" s="47">
        <f t="shared" si="168"/>
        <v>278034610</v>
      </c>
      <c r="BC134" s="47">
        <f t="shared" si="168"/>
        <v>12004716</v>
      </c>
      <c r="BD134" s="47">
        <f t="shared" si="168"/>
        <v>54387</v>
      </c>
      <c r="BE134" s="47">
        <f t="shared" si="168"/>
        <v>30665828</v>
      </c>
      <c r="BF134" s="47">
        <f t="shared" si="168"/>
        <v>1940856</v>
      </c>
      <c r="BG134" s="47">
        <f t="shared" si="168"/>
        <v>0</v>
      </c>
      <c r="BH134" s="47">
        <f t="shared" si="168"/>
        <v>176089445</v>
      </c>
      <c r="BI134" s="47">
        <f t="shared" si="168"/>
        <v>439407176</v>
      </c>
      <c r="BJ134" s="47">
        <f t="shared" si="168"/>
        <v>30170901</v>
      </c>
      <c r="BK134" s="47">
        <f t="shared" si="168"/>
        <v>33084973</v>
      </c>
      <c r="BL134" s="47">
        <f t="shared" si="168"/>
        <v>80898907</v>
      </c>
      <c r="BM134" s="47">
        <f t="shared" si="168"/>
        <v>57055620</v>
      </c>
      <c r="BN134" s="47">
        <f t="shared" si="168"/>
        <v>16668158</v>
      </c>
      <c r="BO134" s="47">
        <f t="shared" si="168"/>
        <v>667371659</v>
      </c>
      <c r="BP134" s="47">
        <f t="shared" si="168"/>
        <v>92962375</v>
      </c>
      <c r="BQ134" s="47">
        <f t="shared" si="168"/>
        <v>320181784</v>
      </c>
      <c r="BR134" s="108">
        <f>+BS134/G134</f>
        <v>0.83501119983039829</v>
      </c>
      <c r="BS134" s="47">
        <f t="shared" ref="BS134:CM134" si="169">BS20+BS60+BS93+BS112+BS132</f>
        <v>21104696463</v>
      </c>
      <c r="BT134" s="47">
        <f t="shared" si="169"/>
        <v>0</v>
      </c>
      <c r="BU134" s="47">
        <f t="shared" si="169"/>
        <v>193150942</v>
      </c>
      <c r="BV134" s="47">
        <f t="shared" si="169"/>
        <v>8619316167</v>
      </c>
      <c r="BW134" s="47">
        <f t="shared" si="169"/>
        <v>149170600</v>
      </c>
      <c r="BX134" s="47">
        <f t="shared" si="169"/>
        <v>2322982287</v>
      </c>
      <c r="BY134" s="47">
        <f t="shared" si="169"/>
        <v>126368270</v>
      </c>
      <c r="BZ134" s="47">
        <f t="shared" si="169"/>
        <v>0</v>
      </c>
      <c r="CA134" s="47">
        <f t="shared" si="169"/>
        <v>0</v>
      </c>
      <c r="CB134" s="47">
        <f t="shared" si="169"/>
        <v>0</v>
      </c>
      <c r="CC134" s="47">
        <f t="shared" si="169"/>
        <v>3438802</v>
      </c>
      <c r="CD134" s="47">
        <f t="shared" si="169"/>
        <v>169852012</v>
      </c>
      <c r="CE134" s="47">
        <f t="shared" si="169"/>
        <v>1917215673</v>
      </c>
      <c r="CF134" s="47">
        <f t="shared" si="169"/>
        <v>1111858722</v>
      </c>
      <c r="CG134" s="47">
        <f t="shared" si="169"/>
        <v>453711667</v>
      </c>
      <c r="CH134" s="47">
        <f t="shared" si="169"/>
        <v>1225177858</v>
      </c>
      <c r="CI134" s="47">
        <f t="shared" si="169"/>
        <v>1205496037</v>
      </c>
      <c r="CJ134" s="47">
        <f t="shared" si="169"/>
        <v>85302101</v>
      </c>
      <c r="CK134" s="47">
        <f t="shared" si="169"/>
        <v>2032628341</v>
      </c>
      <c r="CL134" s="47">
        <f t="shared" si="169"/>
        <v>111779461</v>
      </c>
      <c r="CM134" s="47">
        <f t="shared" si="169"/>
        <v>1377247523</v>
      </c>
      <c r="CN134" s="25">
        <f>1-BR134</f>
        <v>0.16498880016960171</v>
      </c>
      <c r="CO134" s="47">
        <f t="shared" ref="CO134:DH134" si="170">CO20+CO60+CO93+CO112+CO132</f>
        <v>4170050112</v>
      </c>
      <c r="CP134" s="47">
        <f t="shared" si="170"/>
        <v>6849058</v>
      </c>
      <c r="CQ134" s="47">
        <f t="shared" si="170"/>
        <v>1904776932</v>
      </c>
      <c r="CR134" s="47">
        <f t="shared" si="170"/>
        <v>21832727</v>
      </c>
      <c r="CS134" s="47">
        <f t="shared" si="170"/>
        <v>278034610</v>
      </c>
      <c r="CT134" s="47">
        <f t="shared" si="170"/>
        <v>12004716</v>
      </c>
      <c r="CU134" s="47">
        <f t="shared" si="170"/>
        <v>54387</v>
      </c>
      <c r="CV134" s="47">
        <f t="shared" si="170"/>
        <v>30665828</v>
      </c>
      <c r="CW134" s="47">
        <f t="shared" si="170"/>
        <v>1940856</v>
      </c>
      <c r="CX134" s="47">
        <f t="shared" si="170"/>
        <v>0</v>
      </c>
      <c r="CY134" s="47">
        <f t="shared" si="170"/>
        <v>176089445</v>
      </c>
      <c r="CZ134" s="47">
        <f t="shared" si="170"/>
        <v>439407176</v>
      </c>
      <c r="DA134" s="47">
        <f t="shared" si="170"/>
        <v>30170901</v>
      </c>
      <c r="DB134" s="47">
        <f t="shared" si="170"/>
        <v>33084973</v>
      </c>
      <c r="DC134" s="47">
        <f t="shared" si="170"/>
        <v>80898907</v>
      </c>
      <c r="DD134" s="47">
        <f t="shared" si="170"/>
        <v>57055620</v>
      </c>
      <c r="DE134" s="47">
        <f t="shared" si="170"/>
        <v>16668158</v>
      </c>
      <c r="DF134" s="47">
        <f t="shared" si="170"/>
        <v>667371659</v>
      </c>
      <c r="DG134" s="47">
        <f t="shared" si="170"/>
        <v>92962375</v>
      </c>
      <c r="DH134" s="47">
        <f t="shared" si="170"/>
        <v>320181784</v>
      </c>
      <c r="DJ134" s="201"/>
      <c r="DK134" s="201"/>
      <c r="DL134" s="201"/>
      <c r="DM134" s="201"/>
      <c r="DN134" s="201"/>
    </row>
    <row r="135" spans="1:118" ht="5.25" customHeight="1" x14ac:dyDescent="0.25">
      <c r="C135" s="109"/>
      <c r="D135" s="109"/>
      <c r="E135" s="110"/>
      <c r="F135" s="110"/>
      <c r="G135" s="111"/>
      <c r="H135" s="111"/>
      <c r="I135" s="112"/>
      <c r="J135" s="111"/>
      <c r="K135" s="113"/>
      <c r="L135" s="113"/>
      <c r="M135" s="113"/>
      <c r="N135" s="113"/>
      <c r="O135" s="113"/>
      <c r="P135" s="113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4"/>
      <c r="AB135" s="115"/>
      <c r="AC135" s="115"/>
      <c r="AD135" s="115"/>
      <c r="AE135" s="115"/>
      <c r="AF135" s="115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4"/>
      <c r="AX135" s="115"/>
      <c r="AY135" s="115"/>
      <c r="AZ135" s="115"/>
      <c r="BA135" s="115"/>
      <c r="BB135" s="116"/>
      <c r="BC135" s="116"/>
      <c r="BD135" s="116"/>
      <c r="BE135" s="116"/>
      <c r="BF135" s="116"/>
      <c r="BG135" s="116"/>
      <c r="BH135" s="116"/>
      <c r="BI135" s="116"/>
      <c r="BJ135" s="116"/>
      <c r="BK135" s="116"/>
      <c r="BL135" s="116"/>
      <c r="BM135" s="116"/>
      <c r="BN135" s="116"/>
      <c r="BO135" s="116"/>
      <c r="BP135" s="116"/>
      <c r="BQ135" s="116"/>
      <c r="BR135" s="114"/>
      <c r="BS135" s="117"/>
      <c r="BT135" s="118"/>
      <c r="BU135" s="118"/>
      <c r="BV135" s="118"/>
      <c r="BW135" s="118"/>
      <c r="BX135" s="113"/>
      <c r="BY135" s="113"/>
      <c r="BZ135" s="113"/>
      <c r="CA135" s="113"/>
      <c r="CB135" s="113"/>
      <c r="CC135" s="113"/>
      <c r="CD135" s="113"/>
      <c r="CE135" s="113"/>
      <c r="CF135" s="113"/>
      <c r="CG135" s="113"/>
      <c r="CH135" s="113"/>
      <c r="CI135" s="113"/>
      <c r="CJ135" s="113"/>
      <c r="CK135" s="113"/>
      <c r="CL135" s="113"/>
      <c r="CM135" s="113"/>
      <c r="CN135" s="25"/>
      <c r="CO135" s="119"/>
      <c r="CP135" s="115"/>
      <c r="CQ135" s="115"/>
      <c r="CR135" s="115"/>
      <c r="CS135" s="116"/>
      <c r="CT135" s="116"/>
      <c r="CU135" s="116"/>
      <c r="CV135" s="116"/>
      <c r="CW135" s="116"/>
      <c r="CX135" s="116"/>
      <c r="CY135" s="116"/>
      <c r="CZ135" s="116"/>
      <c r="DA135" s="116"/>
      <c r="DB135" s="116"/>
      <c r="DC135" s="116"/>
      <c r="DD135" s="116"/>
      <c r="DE135" s="116"/>
      <c r="DF135" s="116"/>
      <c r="DG135" s="116"/>
      <c r="DH135" s="116"/>
      <c r="DJ135" s="201"/>
      <c r="DK135" s="201"/>
      <c r="DL135" s="201"/>
      <c r="DM135" s="201"/>
      <c r="DN135" s="201"/>
    </row>
    <row r="136" spans="1:118" ht="27.75" customHeight="1" x14ac:dyDescent="0.25">
      <c r="C136" s="120"/>
      <c r="D136" s="121" t="s">
        <v>373</v>
      </c>
      <c r="E136" s="114">
        <v>111</v>
      </c>
      <c r="F136" s="122"/>
      <c r="G136" s="123">
        <f>SUMIF($E$4:$E$131,"111",$G$4:$G$131)</f>
        <v>4844937690</v>
      </c>
      <c r="H136" s="124">
        <f>SUMIF($E$4:$E$132,"111",$H$4:$H$132)</f>
        <v>0</v>
      </c>
      <c r="I136" s="124">
        <f>SUMIF($E$4:$E$132,"111",$I$4:$I$132)</f>
        <v>4130647071</v>
      </c>
      <c r="J136" s="123">
        <f>SUMIF($E$4:$E$131,"111",$J$4:$J$131)</f>
        <v>171003327</v>
      </c>
      <c r="K136" s="122">
        <f>SUMIF($E$4:$E$132,"111",$K$4:$K$132)</f>
        <v>0</v>
      </c>
      <c r="L136" s="122">
        <f>SUMIF($E$4:$E$131,"111",$L$4:$L$131)</f>
        <v>0</v>
      </c>
      <c r="M136" s="122">
        <f>SUMIF($E$4:$E$131,"111",$M$4:$M$131)</f>
        <v>54387</v>
      </c>
      <c r="N136" s="122">
        <f>SUMIF($E$4:$E$131,"111",$N$4:$N$131)</f>
        <v>30665828</v>
      </c>
      <c r="O136" s="122">
        <f>SUMIF($E$4:$E$131,"111",$O$4:$O$131)</f>
        <v>1940856</v>
      </c>
      <c r="P136" s="122">
        <f>SUMIF($E$4:$E$131,"111",$P$4:$P$131)</f>
        <v>3438802</v>
      </c>
      <c r="Q136" s="122">
        <f>SUMIF($E$4:$E$131,"111",$Q$4:$Q$131)</f>
        <v>250509069</v>
      </c>
      <c r="R136" s="122">
        <f>SUMIF($E$4:$E$131,"111",$R$4:$R$131)</f>
        <v>0</v>
      </c>
      <c r="S136" s="122">
        <f>SUMIF($E$4:$E$131,"111",$S$4:$S$131)</f>
        <v>0</v>
      </c>
      <c r="T136" s="122">
        <f>SUMIF($E$4:$E$131,"111",$T$4:$T$131)</f>
        <v>0</v>
      </c>
      <c r="U136" s="122">
        <f>SUMIF($E$4:$E$131,"111",$U$4:$U$131)</f>
        <v>0</v>
      </c>
      <c r="V136" s="122">
        <f>SUMIF($E$4:$E$131,"111",$V$4:$V$131)</f>
        <v>0</v>
      </c>
      <c r="W136" s="122"/>
      <c r="X136" s="122">
        <f>SUMIF($E$4:$E$131,"111",$X$4:$X$131)</f>
        <v>0</v>
      </c>
      <c r="Y136" s="122">
        <f>SUMIF($E$4:$E$131,"111",$Y$4:$Y$131)</f>
        <v>0</v>
      </c>
      <c r="Z136" s="122">
        <f>SUMIF($E$4:$E$131,"111",$Z$4:$Z$131)</f>
        <v>256678350</v>
      </c>
      <c r="AA136" s="125">
        <f t="shared" ref="AA136:AA145" si="171">+AB136/G136</f>
        <v>0.78845668642644606</v>
      </c>
      <c r="AB136" s="28">
        <f t="shared" ref="AB136:AB141" si="172">SUM(AD136:AV136)</f>
        <v>3820023517</v>
      </c>
      <c r="AC136" s="123">
        <f>SUMIF($E$4:$E$131,"111",$AC$4:$AC$131)</f>
        <v>0</v>
      </c>
      <c r="AD136" s="123">
        <f>SUMIF($E$4:$E$131,"111",$AD$4:$AD$131)</f>
        <v>0</v>
      </c>
      <c r="AE136" s="123">
        <f>SUMIF($E$4:$E$131,"111",$AE$4:$AE$131)</f>
        <v>3454613624</v>
      </c>
      <c r="AF136" s="123">
        <f>SUMIF($E$4:$E$131,"111",$AF$4:$AF$131)</f>
        <v>149170600</v>
      </c>
      <c r="AG136" s="123">
        <f>SUMIF($E$4:$E$131,"111",$AG$4:$AG$131)</f>
        <v>0</v>
      </c>
      <c r="AH136" s="123">
        <f>SUMIF($E$4:$E$131,"111",$AH$4:$AH$131)</f>
        <v>0</v>
      </c>
      <c r="AI136" s="123">
        <f>SUMIF($E$4:$E$131,"111",$AI$4:$AI$131)</f>
        <v>0</v>
      </c>
      <c r="AJ136" s="123">
        <f>SUMIF($E$4:$E$131,"111",$AJ$4:$AJ$131)</f>
        <v>0</v>
      </c>
      <c r="AK136" s="123">
        <f>SUMIF($E$4:$E$131,"111",$AK$4:$AK$131)</f>
        <v>0</v>
      </c>
      <c r="AL136" s="123">
        <f>SUMIF($E$4:$E$131,"111",$AL$4:$AL$131)</f>
        <v>3438802</v>
      </c>
      <c r="AM136" s="123">
        <f>SUMIF($E$4:$E$131,"111",$AM$4:$AM$131)</f>
        <v>84852012</v>
      </c>
      <c r="AN136" s="123">
        <f>SUMIF($E$4:$E$131,"111",$AN$4:$AN$131)</f>
        <v>0</v>
      </c>
      <c r="AO136" s="123">
        <f>SUMIF($E$4:$E$131,"111",$AO$4:$AO$131)</f>
        <v>0</v>
      </c>
      <c r="AP136" s="123">
        <f>SUMIF($E$4:$E$131,"111",$AP$4:$AP$131)</f>
        <v>0</v>
      </c>
      <c r="AQ136" s="123">
        <f>SUMIF($E$4:$E$131,"111",$AQ$4:$AQ$131)</f>
        <v>0</v>
      </c>
      <c r="AR136" s="123">
        <f>SUMIF($E$4:$E$131,"111",$AQ$4:$AQ$131)</f>
        <v>0</v>
      </c>
      <c r="AS136" s="123">
        <f>SUMIF($E$4:$E$131,"111",$AS$4:$AS$131)</f>
        <v>0</v>
      </c>
      <c r="AT136" s="123">
        <f>SUMIF($E$4:$E$131,"111",$AT$4:$AT$131)</f>
        <v>0</v>
      </c>
      <c r="AU136" s="123">
        <f>SUMIF($E$4:$E$131,"111",$AU$4:$AU$131)</f>
        <v>0</v>
      </c>
      <c r="AV136" s="123">
        <f>SUMIF($E$4:$E$131,"111",$AV$4:$AV$131)</f>
        <v>127948479</v>
      </c>
      <c r="AW136" s="108">
        <f t="shared" ref="AW136:AW145" si="173">1-AA136</f>
        <v>0.21154331357355394</v>
      </c>
      <c r="AX136" s="28">
        <f t="shared" ref="AX136:AX142" si="174">SUM(AY136:BQ136)</f>
        <v>1024914173</v>
      </c>
      <c r="AY136" s="126">
        <f>SUMIF($E$4:$E$131,"111",$AY$4:$AY$131)</f>
        <v>0</v>
      </c>
      <c r="AZ136" s="126">
        <f>SUMIF($E$4:$E$131,"111",$AZ$4:$AZ$131)</f>
        <v>676033447</v>
      </c>
      <c r="BA136" s="126">
        <f>SUMIF($E$4:$E$131,"111",$BA$4:$BA$131)</f>
        <v>21832727</v>
      </c>
      <c r="BB136" s="126">
        <f>SUMIF($E$4:$E$131,"111",$BB$4:$BB$131)</f>
        <v>0</v>
      </c>
      <c r="BC136" s="126">
        <f>SUMIF($E$4:$E$131,"111",$BC$4:$BC$131)</f>
        <v>0</v>
      </c>
      <c r="BD136" s="126">
        <f>SUMIF($E$4:$E$131,"111",$BD$4:$BD$131)</f>
        <v>54387</v>
      </c>
      <c r="BE136" s="126">
        <f>SUMIF($E$4:$E$132,"111",$BE$4:$BE$132)</f>
        <v>30665828</v>
      </c>
      <c r="BF136" s="126">
        <f>SUMIF($E$4:$E$131,"111",$BF$4:$BF$131)</f>
        <v>1940856</v>
      </c>
      <c r="BG136" s="126">
        <f>SUMIF($E$4:$E$131,"111",$BG$4:$BG$131)</f>
        <v>0</v>
      </c>
      <c r="BH136" s="126">
        <f>SUMIF($E$4:$E$131,"111",$BH$4:$BH$131)</f>
        <v>165657057</v>
      </c>
      <c r="BI136" s="126">
        <f>SUMIF($E$4:$E$131,"111",$BI$4:$BI$131)</f>
        <v>0</v>
      </c>
      <c r="BJ136" s="126">
        <f>SUMIF($E$4:$E$131,"111",$BJ$4:$BJ$131)</f>
        <v>0</v>
      </c>
      <c r="BK136" s="126">
        <f>SUMIF($E$4:$E$131,"111",$BK$4:$BK$131)</f>
        <v>0</v>
      </c>
      <c r="BL136" s="126">
        <f>SUMIF($E$4:$E$131,"111",$BL$4:$BL$131)</f>
        <v>0</v>
      </c>
      <c r="BM136" s="126">
        <f>SUMIF($E$4:$E$131,"111",$BM$4:$BM$131)</f>
        <v>0</v>
      </c>
      <c r="BN136" s="126"/>
      <c r="BO136" s="126">
        <f>SUMIF($E$4:$E$131,"111",$BO$4:$BO$131)</f>
        <v>0</v>
      </c>
      <c r="BP136" s="126">
        <f>SUMIF($E$4:$E$131,"111",$BP$4:$BP$131)</f>
        <v>0</v>
      </c>
      <c r="BQ136" s="127">
        <f>SUMIF($E$4:$E$131,"111",$BQ$4:$BQ$131)</f>
        <v>128729871</v>
      </c>
      <c r="BR136" s="128">
        <f t="shared" ref="BR136:BR145" si="175">+BS136/G136</f>
        <v>0.78845668642644606</v>
      </c>
      <c r="BS136" s="33">
        <f t="shared" ref="BS136:BS141" si="176">SUM(BU136:CM136)</f>
        <v>3820023517</v>
      </c>
      <c r="BT136" s="123">
        <f>SUMIF($E$4:$E$131,"111",$BT$4:$BT$131)</f>
        <v>0</v>
      </c>
      <c r="BU136" s="123">
        <f>SUMIF($E$4:$E$131,"111",$BU$4:$BU$131)</f>
        <v>0</v>
      </c>
      <c r="BV136" s="123">
        <f>SUMIF($E$4:$E$131,"111",$BV$4:$BV$131)</f>
        <v>3454613624</v>
      </c>
      <c r="BW136" s="123">
        <f>SUMIF($E$4:$E$131,"111",$BW$4:$BW$131)</f>
        <v>149170600</v>
      </c>
      <c r="BX136" s="123">
        <f>SUMIF($E$4:$E$131,"111",$BX$4:$BX$131)</f>
        <v>0</v>
      </c>
      <c r="BY136" s="123">
        <f>SUMIF($E$4:$E$131,"111",$BY$4:$BY$131)</f>
        <v>0</v>
      </c>
      <c r="BZ136" s="123">
        <f>SUMIF($E$4:$E$131,"111",$BZ$4:$BZ$131)</f>
        <v>0</v>
      </c>
      <c r="CA136" s="123">
        <f>SUMIF($E$4:$E$131,"111",$CA$4:$CA$131)</f>
        <v>0</v>
      </c>
      <c r="CB136" s="123">
        <f>SUMIF($E$4:$E$131,"111",$CB$4:$CB$131)</f>
        <v>0</v>
      </c>
      <c r="CC136" s="123">
        <f>SUMIF($E$4:$E$131,"111",$CC$4:$CC$131)</f>
        <v>3438802</v>
      </c>
      <c r="CD136" s="123">
        <f>SUMIF($E$4:$E$131,"111",$CD$4:$CD$131)</f>
        <v>84852012</v>
      </c>
      <c r="CE136" s="123">
        <f>SUMIF($E$4:$E$131,"111",$CE$4:$CE$131)</f>
        <v>0</v>
      </c>
      <c r="CF136" s="123">
        <f>SUMIF($E$4:$E$131,"111",$CF$4:$CF$131)</f>
        <v>0</v>
      </c>
      <c r="CG136" s="123">
        <f>SUMIF($E$4:$E$131,"111",$CG$4:$CG$131)</f>
        <v>0</v>
      </c>
      <c r="CH136" s="123">
        <f>SUMIF($E$4:$E$131,"111",$CH$4:$CH$131)</f>
        <v>0</v>
      </c>
      <c r="CI136" s="123">
        <f>SUMIF($E$4:$E$131,"111",$CI$4:$CI$131)</f>
        <v>0</v>
      </c>
      <c r="CJ136" s="123">
        <f>SUMIF($E$4:$E$131,"111",$CJ$4:$CJ$131)</f>
        <v>0</v>
      </c>
      <c r="CK136" s="123">
        <f>SUMIF($E$4:$E$131,"111",$CK$4:$CK$131)</f>
        <v>0</v>
      </c>
      <c r="CL136" s="123">
        <f>SUMIF($E$4:$E$131,"111",$CL$4:$CL$131)</f>
        <v>0</v>
      </c>
      <c r="CM136" s="129">
        <f>SUMIF($E$4:$E$131,"111",$CM$4:$CM$131)</f>
        <v>127948479</v>
      </c>
      <c r="CN136" s="25">
        <f t="shared" ref="CN136:CN145" si="177">1-BR136</f>
        <v>0.21154331357355394</v>
      </c>
      <c r="CO136" s="28">
        <f t="shared" ref="CO136:CO142" si="178">SUM(CP136:DH136)</f>
        <v>1024914173</v>
      </c>
      <c r="CP136" s="126">
        <f>SUMIF($E$4:$E$131,"111",$CP$4:$CP$131)</f>
        <v>0</v>
      </c>
      <c r="CQ136" s="126">
        <f>SUMIF($E$4:$E$131,"111",$CQ$4:$CQ$131)</f>
        <v>676033447</v>
      </c>
      <c r="CR136" s="126">
        <f>SUMIF($E$4:$E$131,"111",$CR$4:$CR$131)</f>
        <v>21832727</v>
      </c>
      <c r="CS136" s="126">
        <f>SUMIF($E$4:$E$131,"111",$CS$4:$CS$131)</f>
        <v>0</v>
      </c>
      <c r="CT136" s="126">
        <f>SUMIF($E$4:$E$131,"111",$CT$4:$CT$131)</f>
        <v>0</v>
      </c>
      <c r="CU136" s="126">
        <f>SUMIF($E$4:$E$131,"111",$CU$4:$CU$131)</f>
        <v>54387</v>
      </c>
      <c r="CV136" s="130">
        <f>SUMIF($E$4:$E$131,"111",$CV$4:$CV$131)</f>
        <v>30665828</v>
      </c>
      <c r="CW136" s="130">
        <f>SUMIF($E$4:$E$131,"111",$CW$4:$CW$131)</f>
        <v>1940856</v>
      </c>
      <c r="CX136" s="130">
        <f>SUMIF($E$4:$E$131,"111",$CX$4:$CX$131)</f>
        <v>0</v>
      </c>
      <c r="CY136" s="130">
        <f>SUMIF($E$4:$E$131,"111",$CY$4:$CY$131)</f>
        <v>165657057</v>
      </c>
      <c r="CZ136" s="130">
        <f>SUMIF($E$4:$E$131,"111",$CZ$4:$CZ$131)</f>
        <v>0</v>
      </c>
      <c r="DA136" s="130">
        <f>SUMIF($E$4:$E$131,"111",$DA$4:$DA$131)</f>
        <v>0</v>
      </c>
      <c r="DB136" s="130">
        <f>SUMIF($E$4:$E$131,"111",$DB$4:$DB$131)</f>
        <v>0</v>
      </c>
      <c r="DC136" s="130">
        <f>SUMIF($E$4:$E$131,"111",$DC$4:$DC$131)</f>
        <v>0</v>
      </c>
      <c r="DD136" s="130">
        <f>SUMIF($E$4:$E$131,"111",$DD$4:$DD$131)</f>
        <v>0</v>
      </c>
      <c r="DE136" s="130">
        <f>SUMIF($E$4:$E$131,"111",$DE$4:$DE$131)</f>
        <v>0</v>
      </c>
      <c r="DF136" s="130">
        <f>SUMIF($E$4:$E$131,"111",$DF$4:$DF$131)</f>
        <v>0</v>
      </c>
      <c r="DG136" s="130">
        <f>SUMIF($E$4:$E$131,"111",$DG$4:$DG$131)</f>
        <v>0</v>
      </c>
      <c r="DH136" s="130">
        <f>SUMIF($E$4:$E$131,"111",$DH$4:$DH$131)</f>
        <v>128729871</v>
      </c>
      <c r="DJ136" s="301"/>
      <c r="DK136" s="301"/>
      <c r="DL136" s="195" t="s">
        <v>406</v>
      </c>
      <c r="DM136" s="195" t="s">
        <v>407</v>
      </c>
      <c r="DN136" s="196" t="s">
        <v>408</v>
      </c>
    </row>
    <row r="137" spans="1:118" ht="18" customHeight="1" x14ac:dyDescent="0.25">
      <c r="C137" s="131"/>
      <c r="D137" s="121" t="s">
        <v>374</v>
      </c>
      <c r="E137" s="114">
        <v>211</v>
      </c>
      <c r="F137" s="122"/>
      <c r="G137" s="123">
        <f>SUMIF($E$4:$E$131,"211",$G$4:$G$131)</f>
        <v>4027310612</v>
      </c>
      <c r="H137" s="124">
        <f>SUMIF($E$4:$E$132,"211",$H$4:$H$132)</f>
        <v>0</v>
      </c>
      <c r="I137" s="124">
        <f>SUMIF($E$4:$E$132,"211",$I$4:$I$132)</f>
        <v>3227181237</v>
      </c>
      <c r="J137" s="123">
        <f>SUMIF($E$4:$E$131,"211",$J$4:$J$131)</f>
        <v>0</v>
      </c>
      <c r="K137" s="122">
        <f>SUMIF($E$4:$E$131,"211",$K$4:$K$131)</f>
        <v>0</v>
      </c>
      <c r="L137" s="122">
        <f>SUMIF($E$4:$E$131,"211",$L$4:$L$131)</f>
        <v>0</v>
      </c>
      <c r="M137" s="122">
        <f>SUMIF($E$4:$E$131,"211",$M$4:$M$131)</f>
        <v>0</v>
      </c>
      <c r="N137" s="122">
        <f>SUMIF($E$4:$E$131,"211",$N$4:$N$131)</f>
        <v>0</v>
      </c>
      <c r="O137" s="122">
        <f>SUMIF($E$4:$E$131,"211",$O$4:$O$131)</f>
        <v>0</v>
      </c>
      <c r="P137" s="122">
        <f>SUMIF($E$4:$E$131,"211",$P$4:$P$131)</f>
        <v>0</v>
      </c>
      <c r="Q137" s="122">
        <f>SUMIF($E$4:$E$131,"211",$Q$4:$Q$131)</f>
        <v>95432388</v>
      </c>
      <c r="R137" s="122">
        <f>SUMIF($E$4:$E$131,"211",$R$4:$R$131)</f>
        <v>0</v>
      </c>
      <c r="S137" s="122">
        <f>SUMIF($E$4:$E$131,"211",$S$4:$S$131)</f>
        <v>380000000</v>
      </c>
      <c r="T137" s="122">
        <f>SUMIF($E$4:$E$131,"211",$T$4:$T$131)</f>
        <v>0</v>
      </c>
      <c r="U137" s="122">
        <f>SUMIF($E$4:$E$131,"211",$U$4:$U$131)</f>
        <v>0</v>
      </c>
      <c r="V137" s="122">
        <f>SUMIF($E$4:$E$131,"211",$V$4:$V$131)</f>
        <v>0</v>
      </c>
      <c r="W137" s="122"/>
      <c r="X137" s="122">
        <f>SUMIF($E$4:$E$131,"211",$X$4:$X$131)</f>
        <v>0</v>
      </c>
      <c r="Y137" s="122">
        <f>SUMIF($E$4:$E$131,"211",$Y$4:$Y$131)</f>
        <v>0</v>
      </c>
      <c r="Z137" s="122">
        <f>SUMIF($E$4:$E$131,"211",$Z$4:$Z$131)</f>
        <v>324696987</v>
      </c>
      <c r="AA137" s="125">
        <f t="shared" si="171"/>
        <v>0.79677399886631839</v>
      </c>
      <c r="AB137" s="28">
        <f t="shared" si="172"/>
        <v>3208856381</v>
      </c>
      <c r="AC137" s="123">
        <f>SUMIF($E$4:$E$131,"211",$AC$4:$AC$131)</f>
        <v>0</v>
      </c>
      <c r="AD137" s="123">
        <f>SUMIF($E$4:$E$131,"211",$AD$4:$AD$131)</f>
        <v>0</v>
      </c>
      <c r="AE137" s="123">
        <f>SUMIF($E$4:$E$131,"211",$AE$4:$AE$131)</f>
        <v>2504949625</v>
      </c>
      <c r="AF137" s="123">
        <f>SUMIF($E$4:$E$131,"211",$AF$4:$AF$131)</f>
        <v>0</v>
      </c>
      <c r="AG137" s="123">
        <f>SUMIF($E$4:$E$131,"211",$AG$4:$AG$131)</f>
        <v>0</v>
      </c>
      <c r="AH137" s="123">
        <f>SUMIF($E$4:$E$131,"211",$AH$4:$AH$131)</f>
        <v>0</v>
      </c>
      <c r="AI137" s="123">
        <f>SUMIF($E$4:$E$131,"211",$AI$4:$AI$131)</f>
        <v>0</v>
      </c>
      <c r="AJ137" s="123">
        <f>SUMIF($E$4:$E$131,"211",$AJ$4:$AJ$131)</f>
        <v>0</v>
      </c>
      <c r="AK137" s="123">
        <f>SUMIF($E$4:$E$131,"211",$AK$4:$AK$131)</f>
        <v>0</v>
      </c>
      <c r="AL137" s="123">
        <f>SUMIF($E$4:$E$131,"211",$AL$4:$AL$131)</f>
        <v>0</v>
      </c>
      <c r="AM137" s="123">
        <f>SUMIF($E$4:$E$131,"211",$AM$4:$AM$131)</f>
        <v>85000000</v>
      </c>
      <c r="AN137" s="123">
        <f>SUMIF($E$4:$E$131,"211",$AN$4:$AN$131)</f>
        <v>0</v>
      </c>
      <c r="AO137" s="123">
        <f>SUMIF($E$4:$E$131,"211",$AO$4:$AO$131)</f>
        <v>373440367</v>
      </c>
      <c r="AP137" s="123">
        <f>SUMIF($E$4:$E$131,"211",$AP$4:$AP$131)</f>
        <v>0</v>
      </c>
      <c r="AQ137" s="123">
        <f>SUMIF($E$4:$E$131,"211",$AQ$4:$AQ$131)</f>
        <v>0</v>
      </c>
      <c r="AR137" s="123">
        <f>SUMIF($E$4:$E$131,"211",$AR$4:$AR$131)</f>
        <v>0</v>
      </c>
      <c r="AS137" s="123">
        <f>SUMIF($E$4:$E$131,"211",$AS$4:$AS$131)</f>
        <v>0</v>
      </c>
      <c r="AT137" s="123">
        <f>SUMIF($E$4:$E$131,"211",$AT$4:$AT$131)</f>
        <v>0</v>
      </c>
      <c r="AU137" s="123">
        <f>SUMIF($E$4:$E$131,"211",$AU$4:$AU$131)</f>
        <v>0</v>
      </c>
      <c r="AV137" s="123">
        <f>SUMIF($E$4:$E$131,"211",$AV$4:$AV$131)</f>
        <v>245466389</v>
      </c>
      <c r="AW137" s="108">
        <f t="shared" si="173"/>
        <v>0.20322600113368161</v>
      </c>
      <c r="AX137" s="28">
        <f t="shared" si="174"/>
        <v>818454231</v>
      </c>
      <c r="AY137" s="126">
        <f>SUMIF($E$4:$E$131,"211",$AY$4:$AY$131)</f>
        <v>0</v>
      </c>
      <c r="AZ137" s="126">
        <f>SUMIF($E$4:$E$131,"211",$AZ$4:$AZ$131)</f>
        <v>722231612</v>
      </c>
      <c r="BA137" s="126">
        <f>SUMIF($E$4:$E$131,"211",$BA$4:$BA$131)</f>
        <v>0</v>
      </c>
      <c r="BB137" s="126">
        <f>SUMIF($E$4:$E$131,"211",$BB$4:$BB$131)</f>
        <v>0</v>
      </c>
      <c r="BC137" s="126">
        <f>SUMIF($E$4:$E$131,"211",$BC$4:$BC$131)</f>
        <v>0</v>
      </c>
      <c r="BD137" s="126">
        <f>SUMIF($E$4:$E$131,"211",$BD$4:$BD$131)</f>
        <v>0</v>
      </c>
      <c r="BE137" s="126">
        <f>SUMIF($E$4:$E$131,"211",$BE$4:$BE$131)</f>
        <v>0</v>
      </c>
      <c r="BF137" s="126">
        <f>SUMIF($E$4:$E$131,"211",$BF$4:$BF$131)</f>
        <v>0</v>
      </c>
      <c r="BG137" s="126">
        <f>SUMIF($E$4:$E$131,"211",$BG$4:$BG$131)</f>
        <v>0</v>
      </c>
      <c r="BH137" s="126">
        <f>SUMIF($E$4:$E$131,"211",$BH$4:$BH$131)</f>
        <v>10432388</v>
      </c>
      <c r="BI137" s="126">
        <f>SUMIF($E$4:$E$131,"211",$BI$4:$BI$131)</f>
        <v>0</v>
      </c>
      <c r="BJ137" s="126">
        <f>SUMIF($E$4:$E$131,"211",$BJ$4:$BJ$131)</f>
        <v>6559633</v>
      </c>
      <c r="BK137" s="126">
        <f>SUMIF($E$4:$E$131,"211",$BK$4:$BK$131)</f>
        <v>0</v>
      </c>
      <c r="BL137" s="126">
        <f>SUMIF($E$4:$E$131,"211",$BL$4:$BL$131)</f>
        <v>0</v>
      </c>
      <c r="BM137" s="126">
        <f>SUMIF($E$4:$E$131,"211",$BM$4:$BM$131)</f>
        <v>0</v>
      </c>
      <c r="BN137" s="126"/>
      <c r="BO137" s="126">
        <f>SUMIF($E$4:$E$131,"211",$BO$4:$BO$131)</f>
        <v>0</v>
      </c>
      <c r="BP137" s="126">
        <f>SUMIF($E$4:$E$131,"211",$BP$4:$BP$131)</f>
        <v>0</v>
      </c>
      <c r="BQ137" s="127">
        <f>SUMIF($E$4:$E$131,"211",$BQ$4:$BQ$131)</f>
        <v>79230598</v>
      </c>
      <c r="BR137" s="128">
        <f t="shared" si="175"/>
        <v>0.79677399886631839</v>
      </c>
      <c r="BS137" s="33">
        <f t="shared" si="176"/>
        <v>3208856381</v>
      </c>
      <c r="BT137" s="123">
        <f>SUMIF($E$4:$E$131,"211",$BT$4:$BT$131)</f>
        <v>0</v>
      </c>
      <c r="BU137" s="123">
        <f>SUMIF($E$4:$E$131,"211",$BU$4:$BU$131)</f>
        <v>0</v>
      </c>
      <c r="BV137" s="123">
        <f>SUMIF($E$4:$E$131,"211",$BV$4:$BV$131)</f>
        <v>2504949625</v>
      </c>
      <c r="BW137" s="123">
        <f>SUMIF($E$4:$E$131,"211",$BW$4:$BW$131)</f>
        <v>0</v>
      </c>
      <c r="BX137" s="123">
        <f>SUMIF($E$4:$E$131,"211",$BX$4:$BX$131)</f>
        <v>0</v>
      </c>
      <c r="BY137" s="123">
        <f>SUMIF($E$4:$E$131,"211",$BY$4:$BY$131)</f>
        <v>0</v>
      </c>
      <c r="BZ137" s="123">
        <f>SUMIF($E$4:$E$131,"211",$BZ$4:$BZ$131)</f>
        <v>0</v>
      </c>
      <c r="CA137" s="123">
        <f>SUMIF($E$4:$E$131,"211",$CA$4:$CA$131)</f>
        <v>0</v>
      </c>
      <c r="CB137" s="123">
        <f>SUMIF($E$4:$E$131,"211",$CB$4:$CB$131)</f>
        <v>0</v>
      </c>
      <c r="CC137" s="123">
        <f>SUMIF($E$4:$E$131,"211",$CC$4:$CC$131)</f>
        <v>0</v>
      </c>
      <c r="CD137" s="123">
        <f>SUMIF($E$4:$E$131,"211",$CD$4:$CD$131)</f>
        <v>85000000</v>
      </c>
      <c r="CE137" s="123">
        <f>SUMIF($E$4:$E$131,"211",$CE$4:$CE$131)</f>
        <v>0</v>
      </c>
      <c r="CF137" s="123">
        <f>SUMIF($E$4:$E$131,"211",$CF$4:$CF$131)</f>
        <v>373440367</v>
      </c>
      <c r="CG137" s="123">
        <f>SUMIF($E$4:$E$131,"211",$CG$4:$CG$131)</f>
        <v>0</v>
      </c>
      <c r="CH137" s="123">
        <f>SUMIF($E$4:$E$131,"211",$CH$4:$CH$131)</f>
        <v>0</v>
      </c>
      <c r="CI137" s="123">
        <f>SUMIF($E$4:$E$131,"211",$CI$4:$CI$131)</f>
        <v>0</v>
      </c>
      <c r="CJ137" s="123">
        <f>SUMIF($E$4:$E$131,"211",$CJ$4:$CJ$131)</f>
        <v>0</v>
      </c>
      <c r="CK137" s="123">
        <f>SUMIF($E$4:$E$131,"211",$CK$4:$CK$131)</f>
        <v>0</v>
      </c>
      <c r="CL137" s="123">
        <f>SUMIF($E$4:$E$131,"211",$CL$4:$CL$131)</f>
        <v>0</v>
      </c>
      <c r="CM137" s="129">
        <f>SUMIF($E$4:$E$131,"211",$CM$4:$CM$131)</f>
        <v>245466389</v>
      </c>
      <c r="CN137" s="25">
        <f t="shared" si="177"/>
        <v>0.20322600113368161</v>
      </c>
      <c r="CO137" s="28">
        <f t="shared" ca="1" si="178"/>
        <v>818454231</v>
      </c>
      <c r="CP137" s="126">
        <f ca="1">SUMIF($E$4:$E$132,"211",$CP$4:$CP$131)</f>
        <v>0</v>
      </c>
      <c r="CQ137" s="126">
        <f>SUMIF($E$4:$E$131,"211",$CQ$4:$CQ$131)</f>
        <v>722231612</v>
      </c>
      <c r="CR137" s="126">
        <f>SUMIF($E$4:$E$131,"211",$CR$4:$CR$131)</f>
        <v>0</v>
      </c>
      <c r="CS137" s="126">
        <f>SUMIF($E$4:$E$131,"211",$CS$4:$CS$131)</f>
        <v>0</v>
      </c>
      <c r="CT137" s="126">
        <f>SUMIF($E$4:$E$131,"211",$CT$4:$CT$131)</f>
        <v>0</v>
      </c>
      <c r="CU137" s="126">
        <f>SUMIF($E$4:$E$131,"211",$CU$4:$CU$131)</f>
        <v>0</v>
      </c>
      <c r="CV137" s="130">
        <f>SUMIF($E$4:$E$131,"211",$CV$4:$CV$131)</f>
        <v>0</v>
      </c>
      <c r="CW137" s="130">
        <f>SUMIF($E$4:$E$131,"211",$CW$4:$CW$131)</f>
        <v>0</v>
      </c>
      <c r="CX137" s="130">
        <f>SUMIF($E$4:$E$131,"211",$CX$4:$CX$131)</f>
        <v>0</v>
      </c>
      <c r="CY137" s="130">
        <f>SUMIF($E$4:$E$131,"211",$CY$4:$CY$131)</f>
        <v>10432388</v>
      </c>
      <c r="CZ137" s="130">
        <f>SUMIF($E$4:$E$131,"211",$CZ$4:$CZ$131)</f>
        <v>0</v>
      </c>
      <c r="DA137" s="130">
        <f>SUMIF($E$4:$E$131,"211",$DA$4:$DA$131)</f>
        <v>6559633</v>
      </c>
      <c r="DB137" s="130">
        <f>SUMIF($E$4:$E$131,"211",$DB$4:$DB$131)</f>
        <v>0</v>
      </c>
      <c r="DC137" s="130">
        <f>SUMIF($E$4:$E$131,"211",$DC$4:$DC$131)</f>
        <v>0</v>
      </c>
      <c r="DD137" s="130">
        <f>SUMIF($E$4:$E$131,"211",$DD$4:$DD$131)</f>
        <v>0</v>
      </c>
      <c r="DE137" s="130">
        <f>SUMIF($E$4:$E$131,"211",$DE$4:$DE$131)</f>
        <v>0</v>
      </c>
      <c r="DF137" s="130">
        <f>SUMIF($E$4:$E$131,"211",$DF$4:$DF$131)</f>
        <v>0</v>
      </c>
      <c r="DG137" s="130">
        <f>SUMIF($E$4:$E$131,"211",$DG$4:$DG$131)</f>
        <v>0</v>
      </c>
      <c r="DH137" s="130">
        <f>SUMIF($E$4:$E$131,"211",$DH$4:$DH$131)</f>
        <v>79230598</v>
      </c>
      <c r="DJ137" s="194" t="s">
        <v>414</v>
      </c>
      <c r="DK137" s="194"/>
      <c r="DL137" s="198">
        <v>4844937690</v>
      </c>
      <c r="DM137" s="198">
        <v>3820023517</v>
      </c>
      <c r="DN137" s="200">
        <v>0.78849999999999998</v>
      </c>
    </row>
    <row r="138" spans="1:118" ht="16.5" customHeight="1" x14ac:dyDescent="0.25">
      <c r="C138" s="131"/>
      <c r="D138" s="121" t="s">
        <v>375</v>
      </c>
      <c r="E138" s="114">
        <v>310</v>
      </c>
      <c r="F138" s="122"/>
      <c r="G138" s="123">
        <f>SUMIF($E$4:$E$131,"310",$G$4:$G$132)</f>
        <v>1070346880</v>
      </c>
      <c r="H138" s="124">
        <f>SUMIF($E$4:$E$131,"310",$H$4:$H$131)</f>
        <v>0</v>
      </c>
      <c r="I138" s="124">
        <f>SUMIF($E$4:$E$131,"310",$I$4:$I$131)</f>
        <v>450000000</v>
      </c>
      <c r="J138" s="123">
        <f>SUMIF($E$4:$E$131,"310",$J$4:$J$131)</f>
        <v>0</v>
      </c>
      <c r="K138" s="122">
        <f>SUMIF($E$4:$E$131,"310",$K$4:$K$131)</f>
        <v>538368096</v>
      </c>
      <c r="L138" s="122">
        <f>SUMIF($E$4:$E$131,"310",$L$4:$L$131)</f>
        <v>0</v>
      </c>
      <c r="M138" s="122">
        <f>SUMIF($E$4:$E$131,"310",$M$4:$M$131)</f>
        <v>0</v>
      </c>
      <c r="N138" s="122">
        <f>SUMIF($E$4:$E$131,"310",$N$4:$N$131)</f>
        <v>0</v>
      </c>
      <c r="O138" s="122">
        <f>SUMIF($E$4:$E$131,"310",$O$4:$O$131)</f>
        <v>0</v>
      </c>
      <c r="P138" s="122">
        <f>SUMIF($E$4:$E$131,"310",$P$4:$P$131)</f>
        <v>0</v>
      </c>
      <c r="Q138" s="122">
        <f>SUMIF($E$4:$E$131,"310",$Q$4:$Q$131)</f>
        <v>0</v>
      </c>
      <c r="R138" s="122">
        <f>SUMIF($E$4:$E$131,"310",$R$4:$R$131)</f>
        <v>4978784</v>
      </c>
      <c r="S138" s="122">
        <f>SUMIF($E$4:$E$131,"310",$S$4:$S$131)</f>
        <v>0</v>
      </c>
      <c r="T138" s="122">
        <f>SUMIF($E$4:$E$131,"310",$T$4:$T$131)</f>
        <v>0</v>
      </c>
      <c r="U138" s="122">
        <f>SUMIF($E$4:$E$131,"310",$U$4:$U$131)</f>
        <v>0</v>
      </c>
      <c r="V138" s="122">
        <f>SUMIF($E$4:$E$123,"310",$V$4:$V$123)</f>
        <v>0</v>
      </c>
      <c r="W138" s="122"/>
      <c r="X138" s="122">
        <f>SUMIF($E$4:$E$131,"310",$X$4:$X$131)</f>
        <v>0</v>
      </c>
      <c r="Y138" s="122">
        <f>SUMIF($E$4:$E$131,"310",$Y$4:$Y$131)</f>
        <v>0</v>
      </c>
      <c r="Z138" s="122">
        <f>SUMIF($E$4:$E$131,"310",$Z$4:$Z$131)</f>
        <v>77000000</v>
      </c>
      <c r="AA138" s="125">
        <f t="shared" si="171"/>
        <v>0.65689658758102798</v>
      </c>
      <c r="AB138" s="33">
        <f t="shared" si="172"/>
        <v>703107213</v>
      </c>
      <c r="AC138" s="123">
        <f>SUMIF($E$4:$E$131,"310",$AC$4:$AC$131)</f>
        <v>0</v>
      </c>
      <c r="AD138" s="123">
        <f>SUMIF($E$4:$E$131,"310",$AD$4:$AD$131)</f>
        <v>0</v>
      </c>
      <c r="AE138" s="123">
        <f>SUMIF($E$4:$E$131,"310",$AE$4:$AE$131)</f>
        <v>240469377</v>
      </c>
      <c r="AF138" s="123">
        <f>SUMIF($E$4:$E$131,"310",$AF$4:$AF$131)</f>
        <v>0</v>
      </c>
      <c r="AG138" s="123">
        <f>SUMIF($E$4:$E$131,"310",$AG$4:$AG$131)</f>
        <v>410290420</v>
      </c>
      <c r="AH138" s="123">
        <f>SUMIF($E$4:$E$131,"310",$AH$4:$AH$131)</f>
        <v>0</v>
      </c>
      <c r="AI138" s="123">
        <f>SUMIF($E$4:$E$131,"310",$AI$4:$AI$131)</f>
        <v>0</v>
      </c>
      <c r="AJ138" s="123">
        <f>SUMIF($E$4:$E$131,"310",$AJ$4:$AJ$131)</f>
        <v>0</v>
      </c>
      <c r="AK138" s="123">
        <f>SUMIF($E$4:$E$131,"310",$AK$4:$AK$131)</f>
        <v>0</v>
      </c>
      <c r="AL138" s="123">
        <f>SUMIF($E$4:$E$131,"310",$AL$4:$AL$131)</f>
        <v>0</v>
      </c>
      <c r="AM138" s="123">
        <f>SUMIF($E$4:$E$131,"310",$AM$4:$AM$131)</f>
        <v>0</v>
      </c>
      <c r="AN138" s="123">
        <f>SUMIF($E$4:$E$131,"310",$AN$4:$AN$131)</f>
        <v>0</v>
      </c>
      <c r="AO138" s="123">
        <f>SUMIF($E$4:$E$131,"310",$AO$4:$AO$131)</f>
        <v>0</v>
      </c>
      <c r="AP138" s="123">
        <f>SUMIF($E$4:$E$131,"310",$AP$4:$AP$131)</f>
        <v>0</v>
      </c>
      <c r="AQ138" s="123">
        <f>SUMIF($E$4:$E$131,"310",$AQ$4:$AQ$131)</f>
        <v>0</v>
      </c>
      <c r="AR138" s="123">
        <f>SUMIF($E$4:$E$131,"310",$AR$4:$AR$131)</f>
        <v>0</v>
      </c>
      <c r="AS138" s="123">
        <f>SUMIF($E$4:$E$131,"310",$AS$4:$AS$131)</f>
        <v>0</v>
      </c>
      <c r="AT138" s="123">
        <f>SUMIF($E$4:$E$131,"310",$AT$4:$AT$131)</f>
        <v>0</v>
      </c>
      <c r="AU138" s="123">
        <f>SUMIF($E$4:$E$131,"310",$AU$4:$AU$131)</f>
        <v>0</v>
      </c>
      <c r="AV138" s="123">
        <f>SUMIF($E$4:$E$131,"310",$AV$4:$AV$131)</f>
        <v>52347416</v>
      </c>
      <c r="AW138" s="108">
        <f t="shared" si="173"/>
        <v>0.34310341241897202</v>
      </c>
      <c r="AX138" s="28">
        <f t="shared" si="174"/>
        <v>367239667</v>
      </c>
      <c r="AY138" s="126">
        <f>SUMIF($E$4:$E$131,"310",$AY$4:$AY$131)</f>
        <v>0</v>
      </c>
      <c r="AZ138" s="126">
        <f>SUMIF($E$4:$E$131,"310",$AZ$4:$AZ$131)</f>
        <v>209530623</v>
      </c>
      <c r="BA138" s="126">
        <f>SUMIF($E$4:$E$131,"310",$BA$4:$BA$131)</f>
        <v>0</v>
      </c>
      <c r="BB138" s="126">
        <f>SUMIF($E$4:$E$131,"310",$BB$4:$BB$131)</f>
        <v>128077676</v>
      </c>
      <c r="BC138" s="126">
        <f>SUMIF($E$4:$E$131,"310",$BC$4:$BC$131)</f>
        <v>0</v>
      </c>
      <c r="BD138" s="126">
        <f>SUMIF($E$4:$E$131,"310",$BD$4:$BD$131)</f>
        <v>0</v>
      </c>
      <c r="BE138" s="126">
        <f>SUMIF($E$4:$E$131,"310",$BE$4:$BE$131)</f>
        <v>0</v>
      </c>
      <c r="BF138" s="126">
        <f>SUMIF($E$4:$E$131,"310",$BF$4:$BF$131)</f>
        <v>0</v>
      </c>
      <c r="BG138" s="126">
        <f>SUMIF($E$4:$E$131,"310",$BG$4:$BG$131)</f>
        <v>0</v>
      </c>
      <c r="BH138" s="126">
        <f>SUMIF($E$4:$E$131,"310",$BH$4:$BH$131)</f>
        <v>0</v>
      </c>
      <c r="BI138" s="126">
        <f>SUMIF($E$4:$E$131,"310",$BI$4:$BI$131)</f>
        <v>4978784</v>
      </c>
      <c r="BJ138" s="126">
        <f>SUMIF($E$4:$E$131,"310",$BJ$4:$BJ$131)</f>
        <v>0</v>
      </c>
      <c r="BK138" s="126">
        <f>SUMIF($E$4:$E$131,"310",$BK$4:$BK$131)</f>
        <v>0</v>
      </c>
      <c r="BL138" s="126">
        <f>SUMIF($E$4:$E$131,"310",$BL$4:$BL$131)</f>
        <v>0</v>
      </c>
      <c r="BM138" s="126">
        <f>SUMIF($E$4:$E$131,"310",$BM$4:$BM$131)</f>
        <v>0</v>
      </c>
      <c r="BN138" s="126">
        <f>SUMIF($E$4:$E$131,"310",$BM$4:$BM$131)</f>
        <v>0</v>
      </c>
      <c r="BO138" s="126">
        <f>SUMIF($E$4:$E$131,"310",$BO$4:$BO$131)</f>
        <v>0</v>
      </c>
      <c r="BP138" s="126">
        <f>SUMIF($E$4:$E$131,"310",$BP$4:$BP$131)</f>
        <v>0</v>
      </c>
      <c r="BQ138" s="127">
        <f>SUMIF($E$4:$E$131,"310",$BQ$4:$BQ$131)</f>
        <v>24652584</v>
      </c>
      <c r="BR138" s="128">
        <f t="shared" si="175"/>
        <v>0.65689658758102798</v>
      </c>
      <c r="BS138" s="33">
        <f t="shared" si="176"/>
        <v>703107213</v>
      </c>
      <c r="BT138" s="123">
        <f>SUMIF($E$4:$E$131,"310",$BT$4:$BT$131)</f>
        <v>0</v>
      </c>
      <c r="BU138" s="123">
        <f>SUMIF($E$4:$E$131,"310",$BU$4:$BU$131)</f>
        <v>0</v>
      </c>
      <c r="BV138" s="123">
        <f>SUMIF($E$4:$E$131,"310",$BV$4:$BV$131)</f>
        <v>240469377</v>
      </c>
      <c r="BW138" s="123">
        <f>SUMIF($E$4:$E$131,"310",$BW$4:$BW$131)</f>
        <v>0</v>
      </c>
      <c r="BX138" s="123">
        <f>SUMIF($E$4:$E$131,"310",$BX$4:$BX$131)</f>
        <v>410290420</v>
      </c>
      <c r="BY138" s="123">
        <f>SUMIF($E$4:$E$131,"310",$BY$4:$BY$131)</f>
        <v>0</v>
      </c>
      <c r="BZ138" s="123">
        <f>SUMIF($E$4:$E$131,"310",$BZ$4:$BZ$131)</f>
        <v>0</v>
      </c>
      <c r="CA138" s="123">
        <f>SUMIF($E$4:$E$131,"310",$CA$4:$CA$131)</f>
        <v>0</v>
      </c>
      <c r="CB138" s="123">
        <f>SUMIF($E$4:$E$131,"310",$CB$4:$CB$131)</f>
        <v>0</v>
      </c>
      <c r="CC138" s="123">
        <f>SUMIF($E$4:$E$131,"310",$CC$4:$CC$131)</f>
        <v>0</v>
      </c>
      <c r="CD138" s="123">
        <f>SUMIF($E$4:$E$131,"310",$CD$4:$CD$131)</f>
        <v>0</v>
      </c>
      <c r="CE138" s="123">
        <f>SUMIF($E$4:$E$131,"310",$CE$4:$CE$131)</f>
        <v>0</v>
      </c>
      <c r="CF138" s="123">
        <f>SUMIF($E$4:$E$131,"310",$CF$4:$CF$131)</f>
        <v>0</v>
      </c>
      <c r="CG138" s="123">
        <f>SUMIF($E$4:$E$131,"310",$CG$4:$CG$131)</f>
        <v>0</v>
      </c>
      <c r="CH138" s="123">
        <f>SUMIF($E$4:$E$131,"310",$CH$4:$CH$131)</f>
        <v>0</v>
      </c>
      <c r="CI138" s="123">
        <f>SUMIF($E$4:$E$131,"310",$CI$4:$CI$131)</f>
        <v>0</v>
      </c>
      <c r="CJ138" s="123">
        <f>SUMIF($E$4:$E$131,"310",$CJ$4:$CJ$131)</f>
        <v>0</v>
      </c>
      <c r="CK138" s="123">
        <f>SUMIF($E$4:$E$131,"310",$CK$4:$CK$131)</f>
        <v>0</v>
      </c>
      <c r="CL138" s="123">
        <f>SUMIF($E$4:$E$131,"310",$CL$4:$CL$131)</f>
        <v>0</v>
      </c>
      <c r="CM138" s="129">
        <f>SUMIF($E$4:$E$131,"310",$CM$4:$CM$131)</f>
        <v>52347416</v>
      </c>
      <c r="CN138" s="25">
        <f t="shared" si="177"/>
        <v>0.34310341241897202</v>
      </c>
      <c r="CO138" s="28">
        <f t="shared" si="178"/>
        <v>367239667</v>
      </c>
      <c r="CP138" s="126">
        <f>SUMIF($E$4:$E$131,"310",$CP$4:$CP$131)</f>
        <v>0</v>
      </c>
      <c r="CQ138" s="126">
        <f>SUMIF($E$4:$E$131,"310",$CQ$4:$CQ$131)</f>
        <v>209530623</v>
      </c>
      <c r="CR138" s="126">
        <f>SUMIF($E$4:$E$131,"310",$CR$4:$CR$131)</f>
        <v>0</v>
      </c>
      <c r="CS138" s="126">
        <f>SUMIF($E$4:$E$131,"310",$CS$4:$CS$131)</f>
        <v>128077676</v>
      </c>
      <c r="CT138" s="126">
        <f>SUMIF($E$4:$E$131,"310",$CT$4:$CT$131)</f>
        <v>0</v>
      </c>
      <c r="CU138" s="126">
        <f>SUMIF($E$4:$E$131,"310",$CU$4:$CU$131)</f>
        <v>0</v>
      </c>
      <c r="CV138" s="130">
        <f>SUMIF($E$4:$E$131,"310",$CV$4:$CV$131)</f>
        <v>0</v>
      </c>
      <c r="CW138" s="130">
        <f>SUMIF($E$4:$E$131,"310",$CW$4:$CW$131)</f>
        <v>0</v>
      </c>
      <c r="CX138" s="130">
        <f>SUMIF($E$4:$E$131,"310",$CX$4:$CX$131)</f>
        <v>0</v>
      </c>
      <c r="CY138" s="130">
        <f>SUMIF($E$4:$E$131,"310",$CY$4:$CY$131)</f>
        <v>0</v>
      </c>
      <c r="CZ138" s="130">
        <f>SUMIF($E$4:$E$131,"310",$CZ$4:$CZ$131)</f>
        <v>4978784</v>
      </c>
      <c r="DA138" s="130">
        <f>SUMIF($E$4:$E$131,"310",$DA$4:$DA$131)</f>
        <v>0</v>
      </c>
      <c r="DB138" s="130">
        <f>SUMIF($E$4:$E$131,"310",$DB$4:$DB$131)</f>
        <v>0</v>
      </c>
      <c r="DC138" s="130">
        <f>SUMIF($E$4:$E$131,"310",$DC$4:$DC$131)</f>
        <v>0</v>
      </c>
      <c r="DD138" s="130">
        <f>SUMIF($E$4:$E$131,"310",$DD$4:$DD$131)</f>
        <v>0</v>
      </c>
      <c r="DE138" s="130">
        <f>SUMIF($E$4:$E$131,"310",$DE$4:$DE$131)</f>
        <v>0</v>
      </c>
      <c r="DF138" s="130">
        <f>SUMIF($E$4:$E$131,"310",$DF$4:$DF$131)</f>
        <v>0</v>
      </c>
      <c r="DG138" s="130">
        <f>SUMIF($E$4:$E$131,"310",$DG$4:$DG$131)</f>
        <v>0</v>
      </c>
      <c r="DH138" s="130">
        <f>SUMIF($E$4:$E$131,"310",$DH$4:$DH$131)</f>
        <v>24652584</v>
      </c>
      <c r="DJ138" s="202" t="s">
        <v>415</v>
      </c>
      <c r="DK138" s="202"/>
      <c r="DL138" s="198">
        <v>4027310612</v>
      </c>
      <c r="DM138" s="198">
        <v>3208856381</v>
      </c>
      <c r="DN138" s="200">
        <v>0.79679999999999995</v>
      </c>
    </row>
    <row r="139" spans="1:118" x14ac:dyDescent="0.25">
      <c r="C139" s="132"/>
      <c r="D139" s="121" t="s">
        <v>376</v>
      </c>
      <c r="E139" s="114">
        <v>410</v>
      </c>
      <c r="F139" s="122"/>
      <c r="G139" s="123">
        <f>SUMIF($E$4:$E$131,"410",$G$4:$G$131)</f>
        <v>6304612321</v>
      </c>
      <c r="H139" s="124">
        <f>SUMIF($E$4:$E$131,"410",$H$4:$H$131)</f>
        <v>0</v>
      </c>
      <c r="I139" s="124">
        <f>SUMIF($E$4:$E$132,"410",$I$4:$I$132)</f>
        <v>2263096695</v>
      </c>
      <c r="J139" s="123">
        <f>SUMIF($E$4:$E$131,"410",$J$4:$J$131)</f>
        <v>0</v>
      </c>
      <c r="K139" s="122">
        <f>SUMIF($E$4:$E$131,"410",$K$4:$K$131)</f>
        <v>0</v>
      </c>
      <c r="L139" s="122">
        <f>SUMIF($E$4:$E$131,"410",$L$4:$L$131)</f>
        <v>74368590</v>
      </c>
      <c r="M139" s="122">
        <f>SUMIF($E$4:$E$131,"410",$M$4:$M$131)</f>
        <v>0</v>
      </c>
      <c r="N139" s="122">
        <f>SUMIF($E$4:$E$131,"410",$N$4:$N$131)</f>
        <v>0</v>
      </c>
      <c r="O139" s="122">
        <f>SUMIF($E$4:$E$131,"410",$O$4:$O$131)</f>
        <v>0</v>
      </c>
      <c r="P139" s="122">
        <f>SUMIF($E$4:$E$131,"410",$P$4:$P$131)</f>
        <v>0</v>
      </c>
      <c r="Q139" s="122">
        <f>SUMIF($E$4:$E$131,"410",$Q$4:$Q$131)</f>
        <v>0</v>
      </c>
      <c r="R139" s="122">
        <f>SUMIF($E$4:$E$131,"410",$R$4:$R$131)</f>
        <v>2107644065</v>
      </c>
      <c r="S139" s="122">
        <f>SUMIF($E$4:$E$131,"410",$S$4:$S$131)</f>
        <v>387696735</v>
      </c>
      <c r="T139" s="122">
        <f>SUMIF($E$4:$E$131,"410",$T$4:$T$131)</f>
        <v>0</v>
      </c>
      <c r="U139" s="122">
        <f>SUMIF($E$4:$E$123,"410",$U$4:$U$123)</f>
        <v>1054833768</v>
      </c>
      <c r="V139" s="122">
        <f>SUMIF($E$4:$E$123,"410",$V$4:$V$123)</f>
        <v>0</v>
      </c>
      <c r="W139" s="122">
        <f>SUMIF($E$4:$E$131,"410",$W$4:$W$131)</f>
        <v>101970259</v>
      </c>
      <c r="X139" s="122">
        <f>SUMIF($E$4:$E$131,"410",$X$4:$X$131)</f>
        <v>0</v>
      </c>
      <c r="Y139" s="122">
        <f>SUMIF($E$4:$E$131,"410",$Y$4:$Y$131)</f>
        <v>204741836</v>
      </c>
      <c r="Z139" s="122">
        <f>SUMIF($E$4:$E$131,"410",$Z$4:$Z$131)</f>
        <v>110260373</v>
      </c>
      <c r="AA139" s="125">
        <f t="shared" si="171"/>
        <v>0.86761253658375426</v>
      </c>
      <c r="AB139" s="28">
        <f t="shared" si="172"/>
        <v>5469960688</v>
      </c>
      <c r="AC139" s="123">
        <f>SUMIF($E$4:$E$131,"410",$AC$4:$AC$131)</f>
        <v>0</v>
      </c>
      <c r="AD139" s="123">
        <f>SUMIF($E$4:$E$131,"410",$AD$4:$AD$131)</f>
        <v>0</v>
      </c>
      <c r="AE139" s="123">
        <f>SUMIF($E$4:$E$131,"410",$AE$4:$AE$131)</f>
        <v>2041432876</v>
      </c>
      <c r="AF139" s="123">
        <f>SUMIF($E$4:$E$131,"410",$AF$4:$AF$131)</f>
        <v>0</v>
      </c>
      <c r="AG139" s="123">
        <f>SUMIF($E$4:$E$131,"410",$AG$4:$AG$131)</f>
        <v>0</v>
      </c>
      <c r="AH139" s="123">
        <f>SUMIF($E$4:$E$131,"410",$AH$4:$AH$131)</f>
        <v>62566149</v>
      </c>
      <c r="AI139" s="123">
        <f>SUMIF($E$4:$E$131,"410",$AI$4:$AI$131)</f>
        <v>0</v>
      </c>
      <c r="AJ139" s="123">
        <f>SUMIF($E$4:$E$131,"410",$AJ$4:$AJ$131)</f>
        <v>0</v>
      </c>
      <c r="AK139" s="123">
        <f>SUMIF($E$4:$E$131,"410",$AK$4:$AK$131)</f>
        <v>0</v>
      </c>
      <c r="AL139" s="123">
        <f>SUMIF($E$4:$E$131,"410",$AL$4:$AL$131)</f>
        <v>0</v>
      </c>
      <c r="AM139" s="123">
        <f>SUMIF($E$4:$E$131,"410",$AM$4:$AM$131)</f>
        <v>0</v>
      </c>
      <c r="AN139" s="123">
        <f>SUMIF($E$4:$E$131,"410",$AN$4:$AN$131)</f>
        <v>1702567793</v>
      </c>
      <c r="AO139" s="123">
        <f>SUMIF($E$4:$E$131,"410",$AO$4:$AO$131)</f>
        <v>385950453</v>
      </c>
      <c r="AP139" s="123">
        <f>SUMIF($E$4:$E$131,"410",$AP$4:$AP$131)</f>
        <v>0</v>
      </c>
      <c r="AQ139" s="123">
        <f>SUMIF($E$4:$E$131,"410",$AQ$4:$AQ$131)</f>
        <v>988088149</v>
      </c>
      <c r="AR139" s="123">
        <f>SUMIF($E$4:$E$131,"410",$AR$4:$AR$131)</f>
        <v>0</v>
      </c>
      <c r="AS139" s="123">
        <f>SUMIF($E$4:$E$131,"410",$AS$4:$AS$131)</f>
        <v>85302101</v>
      </c>
      <c r="AT139" s="123">
        <f>SUMIF($E$4:$E$131,"410",$AT$4:$AT$131)</f>
        <v>0</v>
      </c>
      <c r="AU139" s="123">
        <f>SUMIF($E$4:$E$131,"410",$AU$4:$AU$131)</f>
        <v>111779461</v>
      </c>
      <c r="AV139" s="123">
        <f>SUMIF($E$4:$E$131,"410",$AV$4:$AV$131)</f>
        <v>92273706</v>
      </c>
      <c r="AW139" s="108">
        <f t="shared" si="173"/>
        <v>0.13238746341624574</v>
      </c>
      <c r="AX139" s="28">
        <f t="shared" si="174"/>
        <v>834651633</v>
      </c>
      <c r="AY139" s="126">
        <f>SUMIF($E$4:$E$131,"410",$AY$4:$AY$131)</f>
        <v>0</v>
      </c>
      <c r="AZ139" s="126">
        <f>SUMIF($E$4:$E$131,"410",$AZ$4:$AZ$131)</f>
        <v>221663819</v>
      </c>
      <c r="BA139" s="126">
        <f>SUMIF($E$4:$E$131,"410",$BA$4:$BA$131)</f>
        <v>0</v>
      </c>
      <c r="BB139" s="126">
        <f>SUMIF($E$4:$E$131,"410",$BB$4:$BB$131)</f>
        <v>0</v>
      </c>
      <c r="BC139" s="126">
        <f>SUMIF($E$4:$E$131,"410",$BC$4:$BC$131)</f>
        <v>11802441</v>
      </c>
      <c r="BD139" s="126">
        <f>SUMIF($E$4:$E$131,"410",$BD$4:$BD$131)</f>
        <v>0</v>
      </c>
      <c r="BE139" s="126">
        <f>SUMIF($E$4:$E$131,"410",$BE$4:$BE$131)</f>
        <v>0</v>
      </c>
      <c r="BF139" s="126">
        <f>SUMIF($E$4:$E$131,"410",$BF$4:$BF$131)</f>
        <v>0</v>
      </c>
      <c r="BG139" s="126">
        <f>SUMIF($E$4:$E$131,"410",$BG$4:$BG$131)</f>
        <v>0</v>
      </c>
      <c r="BH139" s="126">
        <f>SUMIF($E$4:$E$131,"410",$BH$4:$BH$131)</f>
        <v>0</v>
      </c>
      <c r="BI139" s="126">
        <f>SUMIF($E$4:$E$131,"410",$BI$4:$BI$131)</f>
        <v>405076272</v>
      </c>
      <c r="BJ139" s="126">
        <f>SUMIF($E$4:$E$131,"410",$BJ$4:$BJ$131)</f>
        <v>1746282</v>
      </c>
      <c r="BK139" s="126">
        <f>SUMIF($E$4:$E$131,"410",$BK$4:$BK$131)</f>
        <v>0</v>
      </c>
      <c r="BL139" s="126">
        <f>SUMIF($E$4:$E$131,"410",$BL$4:$BL$131)</f>
        <v>66745619</v>
      </c>
      <c r="BM139" s="126">
        <f>SUMIF($E$4:$E$131,"510",$BM$4:$BM$131)</f>
        <v>0</v>
      </c>
      <c r="BN139" s="126">
        <f>SUMIF($E$4:$E$131,"410",$BN$4:$BN$131)</f>
        <v>16668158</v>
      </c>
      <c r="BO139" s="126">
        <f>SUMIF($E$4:$E$131,"410",$BO$4:$BO$131)</f>
        <v>0</v>
      </c>
      <c r="BP139" s="126">
        <f>SUMIF($E$4:$E$131,"410",$BP$4:$BP$131)</f>
        <v>92962375</v>
      </c>
      <c r="BQ139" s="127">
        <f>SUMIF($E$4:$E$131,"410",$BQ$4:$BQ$131)</f>
        <v>17986667</v>
      </c>
      <c r="BR139" s="128">
        <f t="shared" si="175"/>
        <v>0.86761253658375426</v>
      </c>
      <c r="BS139" s="28">
        <f t="shared" si="176"/>
        <v>5469960688</v>
      </c>
      <c r="BT139" s="123">
        <f>SUMIF($E$4:$E$131,"410",$BT$4:$BT$131)</f>
        <v>0</v>
      </c>
      <c r="BU139" s="123">
        <f>SUMIF($E$4:$E$131,"410",$BU$4:$BU$131)</f>
        <v>0</v>
      </c>
      <c r="BV139" s="123">
        <f>SUMIF($E$4:$E$131,"410",$BV$4:$BV$131)</f>
        <v>2041432876</v>
      </c>
      <c r="BW139" s="123">
        <f>SUMIF($E$4:$E$131,"410",$BW$4:$BW$131)</f>
        <v>0</v>
      </c>
      <c r="BX139" s="123">
        <f>SUMIF($E$4:$E$131,"410",$BX$4:$BX$131)</f>
        <v>0</v>
      </c>
      <c r="BY139" s="123">
        <f>SUMIF($E$4:$E$131,"410",$BY$4:$BY$131)</f>
        <v>62566149</v>
      </c>
      <c r="BZ139" s="123">
        <f>SUMIF($E$4:$E$131,"410",$BZ$4:$BZ$131)</f>
        <v>0</v>
      </c>
      <c r="CA139" s="123">
        <f>SUMIF($E$4:$E$131,"410",$CA$4:$CA$131)</f>
        <v>0</v>
      </c>
      <c r="CB139" s="123">
        <f>SUMIF($E$4:$E$131,"410",$CB$4:$CB$131)</f>
        <v>0</v>
      </c>
      <c r="CC139" s="123">
        <f>SUMIF($E$4:$E$131,"410",$CC$4:$CC$131)</f>
        <v>0</v>
      </c>
      <c r="CD139" s="123">
        <f>SUMIF($E$4:$E$131,"410",$CD$4:$CD$131)</f>
        <v>0</v>
      </c>
      <c r="CE139" s="123">
        <f>SUMIF($E$4:$E$131,"410",$CE$4:$CE$131)</f>
        <v>1702567793</v>
      </c>
      <c r="CF139" s="123">
        <f>SUMIF($E$4:$E$131,"410",$CF$4:$CF$131)</f>
        <v>385950453</v>
      </c>
      <c r="CG139" s="123">
        <f>SUMIF($E$4:$E$131,"410",$CG$4:$CG$131)</f>
        <v>0</v>
      </c>
      <c r="CH139" s="123">
        <f>SUMIF($E$4:$E$131,"410",$CH$4:$CH$131)</f>
        <v>988088149</v>
      </c>
      <c r="CI139" s="123">
        <f>SUMIF($E$4:$E$131,"410",$CI$4:$CI$131)</f>
        <v>0</v>
      </c>
      <c r="CJ139" s="123">
        <f>SUMIF($E$4:$E$131,"410",$CJ$4:$CJ$131)</f>
        <v>85302101</v>
      </c>
      <c r="CK139" s="123">
        <f>SUMIF($E$4:$E$131,"410",$CK$4:$CK$131)</f>
        <v>0</v>
      </c>
      <c r="CL139" s="123">
        <f>SUMIF($E$4:$E$131,"410",$CL$4:$CL$131)</f>
        <v>111779461</v>
      </c>
      <c r="CM139" s="129">
        <f>SUMIF($E$4:$E$131,"410",$CM$4:$CM$131)</f>
        <v>92273706</v>
      </c>
      <c r="CN139" s="25">
        <f t="shared" si="177"/>
        <v>0.13238746341624574</v>
      </c>
      <c r="CO139" s="28">
        <f t="shared" si="178"/>
        <v>834651633</v>
      </c>
      <c r="CP139" s="126">
        <f>SUMIF($E$4:$E$131,"410",$CP$4:$CP$131)</f>
        <v>0</v>
      </c>
      <c r="CQ139" s="126">
        <f>SUMIF($E$4:$E$131,"410",$CQ$4:$CQ$131)</f>
        <v>221663819</v>
      </c>
      <c r="CR139" s="126">
        <f>SUMIF($E$4:$E$131,"410",$CR$4:$CR$131)</f>
        <v>0</v>
      </c>
      <c r="CS139" s="126">
        <f>SUMIF($E$4:$E$131,"410",$CS$4:$CS$131)</f>
        <v>0</v>
      </c>
      <c r="CT139" s="126">
        <f>SUMIF($E$4:$E$131,"410",$CT$4:$CT$131)</f>
        <v>11802441</v>
      </c>
      <c r="CU139" s="126">
        <f>SUMIF($E$4:$E$131,"410",$CU$4:$CU$131)</f>
        <v>0</v>
      </c>
      <c r="CV139" s="130">
        <f>SUMIF($E$4:$E$131,"410",$CV$4:$CV$131)</f>
        <v>0</v>
      </c>
      <c r="CW139" s="130">
        <f>SUMIF($E$4:$E$131,"410",$CW$4:$CW$131)</f>
        <v>0</v>
      </c>
      <c r="CX139" s="130">
        <f>SUMIF($E$4:$E$131,"410",$CX$4:$CX$131)</f>
        <v>0</v>
      </c>
      <c r="CY139" s="130">
        <f>SUMIF($E$4:$E$131,"410",$CY$4:$CY$131)</f>
        <v>0</v>
      </c>
      <c r="CZ139" s="130">
        <f>SUMIF($E$4:$E$131,"410",$CZ$4:$CZ$131)</f>
        <v>405076272</v>
      </c>
      <c r="DA139" s="130">
        <f>SUMIF($E$4:$E$131,"410",$DA$4:$DA$131)</f>
        <v>1746282</v>
      </c>
      <c r="DB139" s="130">
        <f>SUMIF($E$4:$E$131,"410",$DB$4:$DB$131)</f>
        <v>0</v>
      </c>
      <c r="DC139" s="130">
        <f>SUMIF($E$4:$E$131,"410",$DC$4:$DC$131)</f>
        <v>66745619</v>
      </c>
      <c r="DD139" s="130">
        <f>SUMIF($E$4:$E$131,"410",$DD$4:$DD$131)</f>
        <v>0</v>
      </c>
      <c r="DE139" s="130">
        <f>SUMIF($E$4:$E$131,"410",$DE$4:$DE$131)</f>
        <v>16668158</v>
      </c>
      <c r="DF139" s="130">
        <f>SUMIF($E$4:$E$131,"410",$DF$4:$DF$131)</f>
        <v>0</v>
      </c>
      <c r="DG139" s="130">
        <f>SUMIF($E$4:$E$131,"410",$DG$4:$DG$131)</f>
        <v>92962375</v>
      </c>
      <c r="DH139" s="130">
        <f>SUMIF($E$4:$E$131,"410",$DH$4:$DH$131)</f>
        <v>17986667</v>
      </c>
      <c r="DJ139" s="194" t="s">
        <v>375</v>
      </c>
      <c r="DK139" s="194"/>
      <c r="DL139" s="198">
        <v>1070346880</v>
      </c>
      <c r="DM139" s="198">
        <v>703107213</v>
      </c>
      <c r="DN139" s="200">
        <v>0.65690000000000004</v>
      </c>
    </row>
    <row r="140" spans="1:118" ht="14.25" customHeight="1" x14ac:dyDescent="0.25">
      <c r="C140" s="132"/>
      <c r="D140" s="133" t="s">
        <v>377</v>
      </c>
      <c r="E140" s="114">
        <v>510</v>
      </c>
      <c r="F140" s="122"/>
      <c r="G140" s="123">
        <f>SUMIF($E$4:$E$131,"510",$G$4:$G$131)</f>
        <v>1083280977</v>
      </c>
      <c r="H140" s="124">
        <f>SUMIF($E$4:$E$131,"510",$H$4:$H$131)</f>
        <v>0</v>
      </c>
      <c r="I140" s="124">
        <f>SUMIF($E$4:$E$132,"510",$I$4:$I$132)</f>
        <v>0</v>
      </c>
      <c r="J140" s="123">
        <f>SUMIF($E$4:$E$131,"510",$J$4:$J$131)</f>
        <v>0</v>
      </c>
      <c r="K140" s="122">
        <f>SUMIF($E$4:$E$131,"510",$K$4:$K$131)</f>
        <v>841368554</v>
      </c>
      <c r="L140" s="122">
        <f>SUMIF($E$4:$E$131,"510",$L$4:$L$131)</f>
        <v>14004396</v>
      </c>
      <c r="M140" s="122">
        <f>SUMIF($E$4:$E$131,"510",$M$4:$M$131)</f>
        <v>0</v>
      </c>
      <c r="N140" s="122">
        <f>SUMIF($E$4:$E$131,"510",$N$4:$N$131)</f>
        <v>0</v>
      </c>
      <c r="O140" s="122">
        <f>SUMIF($E$4:$E$131,"510",$O$4:$O$131)</f>
        <v>0</v>
      </c>
      <c r="P140" s="122">
        <f>SUMIF($E$4:$E$131,"510",$P$4:$P$131)</f>
        <v>0</v>
      </c>
      <c r="Q140" s="122">
        <f>SUMIF($E$4:$E$131,"510",$Q$4:$Q$131)</f>
        <v>0</v>
      </c>
      <c r="R140" s="122">
        <f>SUMIF($E$4:$E$131,"510",$R$4:$R$131)</f>
        <v>0</v>
      </c>
      <c r="S140" s="122">
        <f>SUMIF($E$4:$E$131,"510",$S$4:$S$131)</f>
        <v>40431446</v>
      </c>
      <c r="T140" s="122">
        <f>SUMIF($E$4:$E$131,"510",$T$4:$T$131)</f>
        <v>1796640</v>
      </c>
      <c r="U140" s="122">
        <f>SUMIF($E$4:$E$131,"510",$U$4:$U$131)</f>
        <v>6000000</v>
      </c>
      <c r="V140" s="122">
        <f>SUMIF($E$4:$E$123,"510",$V$4:$V$123)</f>
        <v>0</v>
      </c>
      <c r="W140" s="122"/>
      <c r="X140" s="122">
        <f>SUMIF($E$4:$E$131,"510",$X$4:$X$131)</f>
        <v>0</v>
      </c>
      <c r="Y140" s="122">
        <f>SUMIF($E$4:$E$131,"510",$Y$4:$Y$131)</f>
        <v>0</v>
      </c>
      <c r="Z140" s="122">
        <f>SUMIF($E$4:$E$131,"510",$Z$4:$Z$131)</f>
        <v>179679941</v>
      </c>
      <c r="AA140" s="125">
        <f t="shared" si="171"/>
        <v>0.9173209869815705</v>
      </c>
      <c r="AB140" s="28">
        <f t="shared" si="172"/>
        <v>993716375</v>
      </c>
      <c r="AC140" s="123">
        <f>SUMIF($E$4:$E$131,"510",$AC$4:$AC$131)</f>
        <v>0</v>
      </c>
      <c r="AD140" s="123">
        <f>SUMIF($E$4:$E$131,"510",$AD$4:$AD$131)</f>
        <v>0</v>
      </c>
      <c r="AE140" s="123">
        <f>SUMIF($E$4:$E$131,"510",$AE$4:$AE$131)</f>
        <v>0</v>
      </c>
      <c r="AF140" s="123">
        <f>SUMIF($E$4:$E$131,"510",$AF$4:$AF$131)</f>
        <v>0</v>
      </c>
      <c r="AG140" s="123">
        <f>SUMIF($E$4:$E$131,"510",$AG$4:$AG$131)</f>
        <v>795650695</v>
      </c>
      <c r="AH140" s="123">
        <f>SUMIF($E$4:$E$131,"510",$AH$4:$AH$131)</f>
        <v>14004396</v>
      </c>
      <c r="AI140" s="123">
        <f>SUMIF($E$4:$E$131,"510",$AI$4:$AI$131)</f>
        <v>0</v>
      </c>
      <c r="AJ140" s="123">
        <f>SUMIF($E$4:$E$131,"510",$AJ$4:$AJ$131)</f>
        <v>0</v>
      </c>
      <c r="AK140" s="123">
        <f>SUMIF($E$4:$E$131,"510",$AK$4:$AK$131)</f>
        <v>0</v>
      </c>
      <c r="AL140" s="123">
        <f>SUMIF($E$4:$E$131,"510",$AL$4:$AL$131)</f>
        <v>0</v>
      </c>
      <c r="AM140" s="123">
        <f>SUMIF($E$4:$E$131,"510",$AM$4:$AM$131)</f>
        <v>0</v>
      </c>
      <c r="AN140" s="123">
        <f>SUMIF($E$4:$E$131,"510",$AN$4:$AN$131)</f>
        <v>0</v>
      </c>
      <c r="AO140" s="123">
        <f>SUMIF($E$4:$E$131,"510",$AO$4:$AO$131)</f>
        <v>35154230</v>
      </c>
      <c r="AP140" s="123">
        <f>SUMIF($E$4:$E$131,"510",$AP$4:$AP$131)</f>
        <v>1796640</v>
      </c>
      <c r="AQ140" s="123">
        <f>SUMIF($E$4:$E$131,"510",$AQ$4:$AQ$131)</f>
        <v>5652704</v>
      </c>
      <c r="AR140" s="123">
        <f>SUMIF($E$4:$E$131,"510",$AR$4:$AR$131)</f>
        <v>0</v>
      </c>
      <c r="AS140" s="123">
        <f>SUMIF($E$4:$E$131,"510",$AS$4:$AS$131)</f>
        <v>0</v>
      </c>
      <c r="AT140" s="123">
        <f>SUMIF($E$4:$E$131,"510",$AT$4:$AT$131)</f>
        <v>0</v>
      </c>
      <c r="AU140" s="123">
        <f>SUMIF($E$4:$E$131," 510",$AU$4:$AU$131)</f>
        <v>0</v>
      </c>
      <c r="AV140" s="123">
        <f>SUMIF($E$4:$E$131,"510",$AV$4:$AV$131)</f>
        <v>141457710</v>
      </c>
      <c r="AW140" s="108">
        <f t="shared" si="173"/>
        <v>8.2679013018429504E-2</v>
      </c>
      <c r="AX140" s="28">
        <f t="shared" si="174"/>
        <v>89564602</v>
      </c>
      <c r="AY140" s="126">
        <f>SUMIF($E$4:$E$131,"510",$AY$4:$AY$131)</f>
        <v>0</v>
      </c>
      <c r="AZ140" s="126">
        <f>SUMIF($E$4:$E$131,"510",$AZ$4:$AZ$131)</f>
        <v>0</v>
      </c>
      <c r="BA140" s="126">
        <f>SUMIF($E$4:$E$131,"510",$BA$4:$BA$131)</f>
        <v>0</v>
      </c>
      <c r="BB140" s="126">
        <f>SUMIF($E$4:$E$131,"510",$BB$4:$BB$131)</f>
        <v>45717859</v>
      </c>
      <c r="BC140" s="126">
        <f>SUMIF($E$4:$E$131,"510",$BC$4:$BC$131)</f>
        <v>0</v>
      </c>
      <c r="BD140" s="126">
        <f>SUMIF($E$4:$E$131,"510",$BD$4:$BD$131)</f>
        <v>0</v>
      </c>
      <c r="BE140" s="126">
        <f>SUMIF($E$4:$E$131,"510",$BE$4:$BE$131)</f>
        <v>0</v>
      </c>
      <c r="BF140" s="126">
        <f>SUMIF($E$4:$E$131,"510",$BF$4:$BF$131)</f>
        <v>0</v>
      </c>
      <c r="BG140" s="126">
        <f>SUMIF($E$4:$E$131,"510",$BG$4:$BG$131)</f>
        <v>0</v>
      </c>
      <c r="BH140" s="126">
        <f>SUMIF($E$4:$E$131,"510",$BH$4:$BH$131)</f>
        <v>0</v>
      </c>
      <c r="BI140" s="126">
        <f>SUMIF($E$4:$E$131,"510",$BI$4:$BI$131)</f>
        <v>0</v>
      </c>
      <c r="BJ140" s="126">
        <f>SUMIF($E$4:$E$131,"510",$BJ$4:$BJ$131)</f>
        <v>5277216</v>
      </c>
      <c r="BK140" s="126">
        <f>SUMIF($E$4:$E$131,"510",$BK$4:$BK$131)</f>
        <v>0</v>
      </c>
      <c r="BL140" s="126">
        <f>SUMIF($E$4:$E$131,"510",$BL$4:$BL$131)</f>
        <v>347296</v>
      </c>
      <c r="BM140" s="126">
        <f>SUMIF($E$4:$E$131,"520",$BM$4:$BM$131)</f>
        <v>0</v>
      </c>
      <c r="BN140" s="126"/>
      <c r="BO140" s="126">
        <f>SUMIF($E$4:$E$131,"510",$BO$4:$BO$131)</f>
        <v>0</v>
      </c>
      <c r="BP140" s="126">
        <f>SUMIF($E$4:$E$131,"510",$BP$4:$BP$131)</f>
        <v>0</v>
      </c>
      <c r="BQ140" s="127">
        <f>SUMIF($E$4:$E$131,"510",$BQ$4:$BQ$131)</f>
        <v>38222231</v>
      </c>
      <c r="BR140" s="128">
        <f t="shared" si="175"/>
        <v>0.9173209869815705</v>
      </c>
      <c r="BS140" s="28">
        <f t="shared" si="176"/>
        <v>993716375</v>
      </c>
      <c r="BT140" s="123">
        <f>SUMIF($E$4:$E$131,"510",$BT$4:$BT$131)</f>
        <v>0</v>
      </c>
      <c r="BU140" s="123">
        <f>SUMIF($E$4:$E$131,"510",$BU$4:$BU$131)</f>
        <v>0</v>
      </c>
      <c r="BV140" s="123">
        <f>SUMIF($E$4:$E$131,"510",$BV$4:$BV$131)</f>
        <v>0</v>
      </c>
      <c r="BW140" s="123">
        <f>SUMIF($E$4:$E$131,"510",$BW$4:$BW$131)</f>
        <v>0</v>
      </c>
      <c r="BX140" s="123">
        <f>SUMIF($E$4:$E$131,"510",$BX$4:$BX$131)</f>
        <v>795650695</v>
      </c>
      <c r="BY140" s="123">
        <f>SUMIF($E$4:$E$131,"510",$BY$4:$BY$131)</f>
        <v>14004396</v>
      </c>
      <c r="BZ140" s="123">
        <f>SUMIF($E$4:$E$131,"510",$BZ$4:$BZ$131)</f>
        <v>0</v>
      </c>
      <c r="CA140" s="123">
        <f>SUMIF($E$4:$E$131,"510",$CA$4:$CA$131)</f>
        <v>0</v>
      </c>
      <c r="CB140" s="123">
        <f>SUMIF($E$4:$E$131,"510",$CB$4:$CB$131)</f>
        <v>0</v>
      </c>
      <c r="CC140" s="123">
        <f>SUMIF($E$4:$E$131,"510",$CC$4:$CC$131)</f>
        <v>0</v>
      </c>
      <c r="CD140" s="123">
        <f>SUMIF($E$4:$E$131,"510",$CD$4:$CD$131)</f>
        <v>0</v>
      </c>
      <c r="CE140" s="123">
        <f>SUMIF($E$4:$E$131,"510",$CE$4:$CE$131)</f>
        <v>0</v>
      </c>
      <c r="CF140" s="123">
        <f>SUMIF($E$4:$E$131,"510",$CF$4:$CF$131)</f>
        <v>35154230</v>
      </c>
      <c r="CG140" s="123">
        <f>SUMIF($E$4:$E$131,"510",$CG$4:$CG$131)</f>
        <v>1796640</v>
      </c>
      <c r="CH140" s="123">
        <f>SUMIF($E$4:$E$131,"510",$CH$4:$CH$131)</f>
        <v>5652704</v>
      </c>
      <c r="CI140" s="123">
        <f>SUMIF($E$4:$E$131,"510",$CI$4:$CI$131)</f>
        <v>0</v>
      </c>
      <c r="CJ140" s="123">
        <f>SUMIF($E$4:$E$131,"111",$CJ$4:$CJ$131)</f>
        <v>0</v>
      </c>
      <c r="CK140" s="123">
        <f>SUMIF($E$4:$E$131,"510",$CK$4:$CK$131)</f>
        <v>0</v>
      </c>
      <c r="CL140" s="123">
        <f>SUMIF($E$4:$E$131,"510",$CL$4:$CL$131)</f>
        <v>0</v>
      </c>
      <c r="CM140" s="129">
        <f>SUMIF($E$4:$E$131,"510",$CM$4:$CM$131)</f>
        <v>141457710</v>
      </c>
      <c r="CN140" s="25">
        <f t="shared" si="177"/>
        <v>8.2679013018429504E-2</v>
      </c>
      <c r="CO140" s="28">
        <f t="shared" si="178"/>
        <v>89564602</v>
      </c>
      <c r="CP140" s="126">
        <f>SUMIF($E$4:$E$131,"510",$CP$4:$CP$131)</f>
        <v>0</v>
      </c>
      <c r="CQ140" s="126">
        <f>SUMIF($E$4:$E$131,"510",$CQ$4:$CQ$131)</f>
        <v>0</v>
      </c>
      <c r="CR140" s="126">
        <f>SUMIF($E$4:$E$131,"510",$CR$4:$CR$131)</f>
        <v>0</v>
      </c>
      <c r="CS140" s="126">
        <f>SUMIF($E$4:$E$131,"510",$CS$4:$CS$131)</f>
        <v>45717859</v>
      </c>
      <c r="CT140" s="126">
        <f>SUMIF($E$4:$E$131,"510",$CT$4:$CT$131)</f>
        <v>0</v>
      </c>
      <c r="CU140" s="126">
        <f>SUMIF($E$4:$E$131,"510",$CU$4:$CU$131)</f>
        <v>0</v>
      </c>
      <c r="CV140" s="130">
        <f>SUMIF($E$4:$E$131,"510",$CV$4:$CV$131)</f>
        <v>0</v>
      </c>
      <c r="CW140" s="130">
        <f>SUMIF($E$4:$E$131,"510",$CW$4:$CW$131)</f>
        <v>0</v>
      </c>
      <c r="CX140" s="130">
        <f>SUMIF($E$4:$E$131,"510",$CX$4:$CX$131)</f>
        <v>0</v>
      </c>
      <c r="CY140" s="130">
        <f>SUMIF($E$4:$E$131,"510",$CY$4:$CY$131)</f>
        <v>0</v>
      </c>
      <c r="CZ140" s="130">
        <f>SUMIF($E$4:$E$131,"510",$CZ$4:$CZ$131)</f>
        <v>0</v>
      </c>
      <c r="DA140" s="130">
        <f>SUMIF($E$4:$E$131,"510",$DA$4:$DA$131)</f>
        <v>5277216</v>
      </c>
      <c r="DB140" s="130">
        <f>SUMIF($E$4:$E$131,"510",$DB$4:$DB$131)</f>
        <v>0</v>
      </c>
      <c r="DC140" s="130">
        <f>SUMIF($E$4:$E$131,"510",$DC$4:$DC$131)</f>
        <v>347296</v>
      </c>
      <c r="DD140" s="130">
        <f>SUMIF($E$4:$E$131,"510",$DD$4:$DD$131)</f>
        <v>0</v>
      </c>
      <c r="DE140" s="130">
        <f>SUMIF($E$4:$E$131,"510",$DE$4:$DE$131)</f>
        <v>0</v>
      </c>
      <c r="DF140" s="130">
        <f>SUMIF($E$4:$E$131,"510",$DF$4:$DF$131)</f>
        <v>0</v>
      </c>
      <c r="DG140" s="130">
        <f>SUMIF($E$4:$E$131,"510",$DG$4:$DG$131)</f>
        <v>0</v>
      </c>
      <c r="DH140" s="130">
        <f>SUMIF($E$4:$E$131,"510",$DH$4:$DH$131)</f>
        <v>38222231</v>
      </c>
      <c r="DJ140" s="194" t="s">
        <v>416</v>
      </c>
      <c r="DK140" s="194"/>
      <c r="DL140" s="198">
        <v>6304612321</v>
      </c>
      <c r="DM140" s="198">
        <v>5469960688</v>
      </c>
      <c r="DN140" s="200">
        <v>0.86760000000000004</v>
      </c>
    </row>
    <row r="141" spans="1:118" x14ac:dyDescent="0.25">
      <c r="C141" s="132"/>
      <c r="D141" s="121" t="s">
        <v>378</v>
      </c>
      <c r="E141" s="114">
        <v>520</v>
      </c>
      <c r="F141" s="122"/>
      <c r="G141" s="123">
        <f>SUMIF($E$4:$E$131,"520",$G$4:$G$131)</f>
        <v>1790134547</v>
      </c>
      <c r="H141" s="124">
        <f>SUMIF($E$4:$E$131,"520",$H$4:$H$131)</f>
        <v>0</v>
      </c>
      <c r="I141" s="124">
        <f>SUMIF($E$4:$E$131,"520",$I$4:$I$131)</f>
        <v>0</v>
      </c>
      <c r="J141" s="123">
        <f>SUMIF($E$4:$E$131,"520",$J$4:$J$131)</f>
        <v>0</v>
      </c>
      <c r="K141" s="122">
        <f>SUMIF($E$4:$E$131,"520",$K$4:$K$131)</f>
        <v>520000000</v>
      </c>
      <c r="L141" s="122">
        <f>SUMIF($E$4:$E$131,"520",$L$4:$L$131)</f>
        <v>50000000</v>
      </c>
      <c r="M141" s="122">
        <f>SUMIF($E$4:$E$131,"520",$M$4:$M$131)</f>
        <v>0</v>
      </c>
      <c r="N141" s="122">
        <f>SUMIF($E$4:$E$131,"520",$N$4:$N$131)</f>
        <v>0</v>
      </c>
      <c r="O141" s="122">
        <f>SUMIF($E$4:$E$131,"520",$O$4:$O$131)</f>
        <v>0</v>
      </c>
      <c r="P141" s="122">
        <f>SUMIF($E$4:$E$131,"520",$P$4:$P$131)</f>
        <v>0</v>
      </c>
      <c r="Q141" s="122">
        <f>SUMIF($E$4:$E$131,"520",$Q$4:$Q$131)</f>
        <v>0</v>
      </c>
      <c r="R141" s="122">
        <f>SUMIF($E$4:$E$131,"520",$R$4:$R$131)</f>
        <v>244000000</v>
      </c>
      <c r="S141" s="122">
        <f>SUMIF($E$4:$E$131,"520",$S$4:$S$131)</f>
        <v>333901442</v>
      </c>
      <c r="T141" s="122">
        <f>SUMIF($E$4:$E$131,"520",$T$4:$T$131)</f>
        <v>0</v>
      </c>
      <c r="U141" s="122">
        <f>SUMIF($E$4:$E$131,"520",$U$4:$U$131)</f>
        <v>0</v>
      </c>
      <c r="V141" s="122">
        <f>SUMIF($E$4:$E$123,"520",$V$4:$V$123)</f>
        <v>0</v>
      </c>
      <c r="W141" s="122"/>
      <c r="X141" s="122">
        <f>SUMIF($E$4:$E$131,"520",$X$4:$X$131)</f>
        <v>0</v>
      </c>
      <c r="Y141" s="122">
        <f>SUMIF($E$4:$E$131,"520",$Y$4:$Y$131)</f>
        <v>0</v>
      </c>
      <c r="Z141" s="122">
        <f>SUMIF($E$4:$E$131,"520",$Z$4:$Z$131)</f>
        <v>642233105</v>
      </c>
      <c r="AA141" s="125">
        <f t="shared" si="171"/>
        <v>0.94110376888894265</v>
      </c>
      <c r="AB141" s="28">
        <f t="shared" si="172"/>
        <v>1684702369</v>
      </c>
      <c r="AC141" s="123">
        <f>SUMIF($E$4:$E$131,"520",$AC$4:$AC$131)</f>
        <v>0</v>
      </c>
      <c r="AD141" s="123">
        <f>SUMIF($E$4:$E$131,"520",$AD$4:$AD$131)</f>
        <v>0</v>
      </c>
      <c r="AE141" s="123">
        <f>SUMIF($E$4:$E$131,"520",$AE$4:$AE$131)</f>
        <v>0</v>
      </c>
      <c r="AF141" s="123">
        <f>SUMIF($E$4:$E$131,"520",$AF$4:$AF$131)</f>
        <v>0</v>
      </c>
      <c r="AG141" s="123">
        <f>SUMIF($E$4:$E$131,"520",$AG$4:$AG$131)</f>
        <v>485265778</v>
      </c>
      <c r="AH141" s="123">
        <f>SUMIF($E$4:$E$131,"520",$AH$4:$AH$131)</f>
        <v>49797725</v>
      </c>
      <c r="AI141" s="123">
        <f>SUMIF($E$4:$E$131,"520",$AI$4:$AI$131)</f>
        <v>0</v>
      </c>
      <c r="AJ141" s="123">
        <f>SUMIF($E$4:$E$131,"520",$AJ$4:$AJ$131)</f>
        <v>0</v>
      </c>
      <c r="AK141" s="123">
        <f>SUMIF($E$4:$E$131,"520",$AK$4:$AK$131)</f>
        <v>0</v>
      </c>
      <c r="AL141" s="123">
        <f>SUMIF($E$4:$E$131,"520",$AL$4:$AL$131)</f>
        <v>0</v>
      </c>
      <c r="AM141" s="123">
        <f>SUMIF($E$4:$E$131,"520",$AM$4:$AM$131)</f>
        <v>0</v>
      </c>
      <c r="AN141" s="123">
        <f>SUMIF($E$4:$E$131,"520",$AN$4:$AN$131)</f>
        <v>214647880</v>
      </c>
      <c r="AO141" s="123">
        <f>SUMIF($E$4:$E$131,"520",$AO$4:$AO$131)</f>
        <v>317313672</v>
      </c>
      <c r="AP141" s="123">
        <f>SUMIF($E$4:$E$131,"520",$AP$4:$AP$131)</f>
        <v>0</v>
      </c>
      <c r="AQ141" s="123">
        <f>SUMIF($E$4:$E$131,"520",$AQ$4:$AQ$131)</f>
        <v>0</v>
      </c>
      <c r="AR141" s="123">
        <f>SUMIF($E$4:$E$131,"520",$AR$4:$AR$131)</f>
        <v>0</v>
      </c>
      <c r="AS141" s="123">
        <f>SUMIF($E$4:$E$131,"520",$AS$4:$AS$131)</f>
        <v>0</v>
      </c>
      <c r="AT141" s="123">
        <f>SUMIF($E$4:$E$131,"520",$AT$4:$AT$131)</f>
        <v>0</v>
      </c>
      <c r="AU141" s="123">
        <f>SUMIF($E$4:$E$131,"520",$AU$4:$AU$131)</f>
        <v>0</v>
      </c>
      <c r="AV141" s="123">
        <f>SUMIF($E$4:$E$131,"520",$AV$4:$AV$131)</f>
        <v>617677314</v>
      </c>
      <c r="AW141" s="108">
        <f t="shared" si="173"/>
        <v>5.8896231111057351E-2</v>
      </c>
      <c r="AX141" s="28">
        <f t="shared" si="174"/>
        <v>105432178</v>
      </c>
      <c r="AY141" s="126">
        <f>SUMIF($E$4:$E$131,"520",$AY$4:$AY$131)</f>
        <v>0</v>
      </c>
      <c r="AZ141" s="126">
        <f>SUMIF($E$4:$E$131,"520",$AZ$4:$AZ$131)</f>
        <v>0</v>
      </c>
      <c r="BA141" s="126">
        <f>SUMIF($E$4:$E$131,"520",$BA$4:$BA$131)</f>
        <v>0</v>
      </c>
      <c r="BB141" s="126">
        <f>SUMIF($E$4:$E$131,"520",$BB$4:$BB$131)</f>
        <v>34734222</v>
      </c>
      <c r="BC141" s="126">
        <f>SUMIF($E$4:$E$131,"520",$BC$4:$BC$131)</f>
        <v>202275</v>
      </c>
      <c r="BD141" s="126">
        <f>SUMIF($E$4:$E$131,"520",$BD$4:$BD$131)</f>
        <v>0</v>
      </c>
      <c r="BE141" s="126">
        <f>SUMIF($E$4:$E$131,"520",$BE$4:$BE$131)</f>
        <v>0</v>
      </c>
      <c r="BF141" s="126">
        <f>SUMIF($E$4:$E$131,"520",$BF$4:$BF$131)</f>
        <v>0</v>
      </c>
      <c r="BG141" s="126">
        <f>SUMIF($E$4:$E$131,"520",$BG$4:$BG$131)</f>
        <v>0</v>
      </c>
      <c r="BH141" s="126">
        <f>SUMIF($E$4:$E$131,"520",$BH$4:$BH$131)</f>
        <v>0</v>
      </c>
      <c r="BI141" s="126">
        <f>SUMIF($E$4:$E$131,"520",$BI$4:$BI$131)</f>
        <v>29352120</v>
      </c>
      <c r="BJ141" s="126">
        <f>SUMIF($E$4:$E$131,"520",$BJ$4:$BJ$131)</f>
        <v>16587770</v>
      </c>
      <c r="BK141" s="126">
        <f>SUMIF($E$4:$E$131,"520",$BK$4:$BK$131)</f>
        <v>0</v>
      </c>
      <c r="BL141" s="126">
        <f>SUMIF($E$4:$E$131,"520",$BL$4:$BL$131)</f>
        <v>0</v>
      </c>
      <c r="BM141" s="126">
        <f>SUMIF($E$4:$E$131,"111",$BM$4:$BM$131)</f>
        <v>0</v>
      </c>
      <c r="BN141" s="126"/>
      <c r="BO141" s="126">
        <f>SUMIF($E$4:$E$131,"520",$BO$4:$BO$131)</f>
        <v>0</v>
      </c>
      <c r="BP141" s="126">
        <f>SUMIF($E$4:$E$131,"520",$BP$4:$BP$131)</f>
        <v>0</v>
      </c>
      <c r="BQ141" s="127">
        <f>SUMIF($E$4:$E$131,"520",$BQ$4:$BQ$131)</f>
        <v>24555791</v>
      </c>
      <c r="BR141" s="128">
        <f t="shared" si="175"/>
        <v>0.94110376888894265</v>
      </c>
      <c r="BS141" s="28">
        <f t="shared" si="176"/>
        <v>1684702369</v>
      </c>
      <c r="BT141" s="123">
        <f>SUMIF($E$4:$E$131,"520",$BT$4:$BT$131)</f>
        <v>0</v>
      </c>
      <c r="BU141" s="123">
        <f>SUMIF($E$4:$E$131,"520",$BU$4:$BU$131)</f>
        <v>0</v>
      </c>
      <c r="BV141" s="123">
        <f>SUMIF($E$4:$E$131,"520",$BV$4:$BV$131)</f>
        <v>0</v>
      </c>
      <c r="BW141" s="123">
        <f>SUMIF($E$4:$E$131,"520",$BW$4:$BW$131)</f>
        <v>0</v>
      </c>
      <c r="BX141" s="123">
        <f>SUMIF($E$4:$E$131,"520",$BX$4:$BX$131)</f>
        <v>485265778</v>
      </c>
      <c r="BY141" s="123">
        <f>SUMIF($E$4:$E$131,"520",$BY$4:$BY$131)</f>
        <v>49797725</v>
      </c>
      <c r="BZ141" s="123">
        <f>SUMIF($E$4:$E$131,"520",$BZ$4:$BZ$131)</f>
        <v>0</v>
      </c>
      <c r="CA141" s="123">
        <f>SUMIF($E$4:$E$131,"520",$CA$4:$CA$131)</f>
        <v>0</v>
      </c>
      <c r="CB141" s="123">
        <f>SUMIF($E$4:$E$131,"520",$CB$4:$CB$131)</f>
        <v>0</v>
      </c>
      <c r="CC141" s="123">
        <f>SUMIF($E$4:$E$131,"520",$CC$4:$CC$131)</f>
        <v>0</v>
      </c>
      <c r="CD141" s="123">
        <f>SUMIF($E$4:$E$131,"520",$CD$4:$CD$131)</f>
        <v>0</v>
      </c>
      <c r="CE141" s="123">
        <f>SUMIF($E$4:$E$131,"520",$CE$4:$CE$131)</f>
        <v>214647880</v>
      </c>
      <c r="CF141" s="123">
        <f>SUMIF($E$4:$E$131,"520",$CF$4:$CF$131)</f>
        <v>317313672</v>
      </c>
      <c r="CG141" s="123">
        <f>SUMIF($E$4:$E$131,"520",$CG$4:$CG$131)</f>
        <v>0</v>
      </c>
      <c r="CH141" s="123">
        <f>SUMIF($E$4:$E$131,"520",$CH$4:$CH$131)</f>
        <v>0</v>
      </c>
      <c r="CI141" s="123">
        <f>SUMIF($E$4:$E$131,"520",$CI$4:$CI$131)</f>
        <v>0</v>
      </c>
      <c r="CJ141" s="123">
        <f>SUMIF($E$4:$E$131,"111",$CJ$4:$CJ$131)</f>
        <v>0</v>
      </c>
      <c r="CK141" s="123">
        <f>SUMIF($E$4:$E$131,"520",$CK$4:$CK$131)</f>
        <v>0</v>
      </c>
      <c r="CL141" s="123">
        <f>SUMIF($E$4:$E$131,"520",$CL$4:$CL$131)</f>
        <v>0</v>
      </c>
      <c r="CM141" s="129">
        <f>SUMIF($E$4:$E$131,"520",$CM$4:$CM$131)</f>
        <v>617677314</v>
      </c>
      <c r="CN141" s="25">
        <f t="shared" si="177"/>
        <v>5.8896231111057351E-2</v>
      </c>
      <c r="CO141" s="28">
        <f t="shared" si="178"/>
        <v>105432178</v>
      </c>
      <c r="CP141" s="126">
        <f>SUMIF($E$4:$E$131,"520",$CP$4:$CP$131)</f>
        <v>0</v>
      </c>
      <c r="CQ141" s="126">
        <f>SUMIF($E$4:$E$131,"520",$CQ$4:$CQ$131)</f>
        <v>0</v>
      </c>
      <c r="CR141" s="126">
        <f>SUMIF($E$4:$E$131,"520",$CR$4:$CR$131)</f>
        <v>0</v>
      </c>
      <c r="CS141" s="126">
        <f>SUMIF($E$4:$E$131,"520",$CS$4:$CS$131)</f>
        <v>34734222</v>
      </c>
      <c r="CT141" s="126">
        <f>SUMIF($E$4:$E$131,"520",$CT$4:$CT$131)</f>
        <v>202275</v>
      </c>
      <c r="CU141" s="126">
        <f>SUMIF($E$4:$E$131,"520",$CU$4:$CU$131)</f>
        <v>0</v>
      </c>
      <c r="CV141" s="130">
        <f>SUMIF($E$4:$E$131,"520",$CV$4:$CV$131)</f>
        <v>0</v>
      </c>
      <c r="CW141" s="130">
        <f>SUMIF($E$4:$E$131,"520",$CW$4:$CW$131)</f>
        <v>0</v>
      </c>
      <c r="CX141" s="130">
        <f>SUMIF($E$4:$E$131,"520",$CX$4:$CX$131)</f>
        <v>0</v>
      </c>
      <c r="CY141" s="130">
        <f>SUMIF($E$4:$E$131,"520",$CY$4:$CY$131)</f>
        <v>0</v>
      </c>
      <c r="CZ141" s="130">
        <f>SUMIF($E$4:$E$131,"520",$CZ$4:$CZ$131)</f>
        <v>29352120</v>
      </c>
      <c r="DA141" s="130">
        <f>SUMIF($E$4:$E$131,"520",$DA$4:$DA$131)</f>
        <v>16587770</v>
      </c>
      <c r="DB141" s="130">
        <f>SUMIF($E$4:$E$131,"520",$DB$4:$DB$131)</f>
        <v>0</v>
      </c>
      <c r="DC141" s="130">
        <f>SUMIF($E$4:$E$131,"520",$DC$4:$DC$131)</f>
        <v>0</v>
      </c>
      <c r="DD141" s="130">
        <f>SUMIF($E$4:$E$131,"520",$DD$4:$DD$131)</f>
        <v>0</v>
      </c>
      <c r="DE141" s="130">
        <f>SUMIF($E$4:$E$131,"520",$DE$4:$DE$131)</f>
        <v>0</v>
      </c>
      <c r="DF141" s="130">
        <f>SUMIF($E$4:$E$131,"520",$DF$4:$DF$131)</f>
        <v>0</v>
      </c>
      <c r="DG141" s="130">
        <f>SUMIF($E$4:$E$131,"520",$DG$4:$DG$131)</f>
        <v>0</v>
      </c>
      <c r="DH141" s="130">
        <f>SUMIF($E$4:$E$131,"520",$DH$4:$DH$131)</f>
        <v>24555791</v>
      </c>
      <c r="DJ141" s="194" t="s">
        <v>377</v>
      </c>
      <c r="DK141" s="194"/>
      <c r="DL141" s="198">
        <v>1083280977</v>
      </c>
      <c r="DM141" s="198">
        <v>993716375</v>
      </c>
      <c r="DN141" s="200">
        <v>0.9173</v>
      </c>
    </row>
    <row r="142" spans="1:118" x14ac:dyDescent="0.25">
      <c r="C142" s="132"/>
      <c r="D142" s="121" t="s">
        <v>379</v>
      </c>
      <c r="E142" s="114" t="s">
        <v>351</v>
      </c>
      <c r="F142" s="122"/>
      <c r="G142" s="123">
        <f>SUMIF($E$4:$E$131,"520-2",$G$4:$G$131)</f>
        <v>3185000000</v>
      </c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2">
        <f>SUMIF($E$4:$E$131,"520-2",$T$4:$T$131)</f>
        <v>485000000</v>
      </c>
      <c r="U142" s="124"/>
      <c r="V142" s="124"/>
      <c r="W142" s="124"/>
      <c r="X142" s="122">
        <f>SUMIF($E$4:$E$131,"520-2",$X$4:$X$131)</f>
        <v>2700000000</v>
      </c>
      <c r="Y142" s="124"/>
      <c r="Z142" s="122">
        <f>SUMIF($E$4:$E$131,"520-2",$Z$4:$Z$131)</f>
        <v>0</v>
      </c>
      <c r="AA142" s="125">
        <f t="shared" si="171"/>
        <v>0.7800764106750393</v>
      </c>
      <c r="AB142" s="28">
        <f>SUM(AD142:AV142)</f>
        <v>2484543368</v>
      </c>
      <c r="AC142" s="123"/>
      <c r="AD142" s="123"/>
      <c r="AE142" s="123"/>
      <c r="AF142" s="123"/>
      <c r="AG142" s="123"/>
      <c r="AH142" s="123"/>
      <c r="AI142" s="123"/>
      <c r="AJ142" s="123"/>
      <c r="AK142" s="123"/>
      <c r="AL142" s="123"/>
      <c r="AM142" s="123"/>
      <c r="AN142" s="123"/>
      <c r="AO142" s="123"/>
      <c r="AP142" s="123">
        <f>SUMIF($E$4:$E$131,"520-2",$AP$4:$AP$131)</f>
        <v>451915027</v>
      </c>
      <c r="AQ142" s="123"/>
      <c r="AR142" s="123"/>
      <c r="AS142" s="123">
        <f>SUMIF($E$4:$E$131,"520-2",$AS$4:$AS$131)</f>
        <v>0</v>
      </c>
      <c r="AT142" s="123">
        <f>SUMIF($E$4:$E$131,"520-2",$AT$4:$AT$131)</f>
        <v>2032628341</v>
      </c>
      <c r="AU142" s="123"/>
      <c r="AV142" s="123"/>
      <c r="AW142" s="108">
        <f t="shared" si="173"/>
        <v>0.2199235893249607</v>
      </c>
      <c r="AX142" s="28">
        <f t="shared" si="174"/>
        <v>700456632</v>
      </c>
      <c r="AY142" s="126"/>
      <c r="AZ142" s="126"/>
      <c r="BA142" s="126"/>
      <c r="BB142" s="126"/>
      <c r="BC142" s="126"/>
      <c r="BD142" s="126"/>
      <c r="BE142" s="126"/>
      <c r="BF142" s="126"/>
      <c r="BG142" s="126"/>
      <c r="BH142" s="126"/>
      <c r="BI142" s="126"/>
      <c r="BJ142" s="126"/>
      <c r="BK142" s="126">
        <f>SUMIF($E$4:$E$131,"520-2",$BK$4:$BK$131)</f>
        <v>33084973</v>
      </c>
      <c r="BL142" s="126"/>
      <c r="BM142" s="126"/>
      <c r="BN142" s="126"/>
      <c r="BO142" s="126">
        <f>SUMIF($E$4:$E$131,"520-2",$BO$4:$BO$131)</f>
        <v>667371659</v>
      </c>
      <c r="BP142" s="126"/>
      <c r="BQ142" s="127"/>
      <c r="BR142" s="128">
        <f t="shared" si="175"/>
        <v>0.7800764106750393</v>
      </c>
      <c r="BS142" s="28">
        <f>SUM(BT142:CM142)</f>
        <v>2484543368</v>
      </c>
      <c r="BT142" s="129"/>
      <c r="BU142" s="129"/>
      <c r="BV142" s="129"/>
      <c r="BW142" s="129"/>
      <c r="BX142" s="123"/>
      <c r="BY142" s="123"/>
      <c r="BZ142" s="123"/>
      <c r="CA142" s="123"/>
      <c r="CB142" s="123"/>
      <c r="CC142" s="123"/>
      <c r="CD142" s="123"/>
      <c r="CE142" s="123"/>
      <c r="CF142" s="123"/>
      <c r="CG142" s="123">
        <f>SUMIF($E$4:$E$131,"520-2",$CG$4:$CG$131)</f>
        <v>451915027</v>
      </c>
      <c r="CH142" s="123"/>
      <c r="CI142" s="123"/>
      <c r="CJ142" s="123">
        <f>SUMIF($E$4:$E$131,"111",$CJ$4:$CJ$131)</f>
        <v>0</v>
      </c>
      <c r="CK142" s="123">
        <f>SUMIF($E$4:$E$131,"520-2",$CK$4:$CK$131)</f>
        <v>2032628341</v>
      </c>
      <c r="CL142" s="123"/>
      <c r="CM142" s="129"/>
      <c r="CN142" s="25">
        <f t="shared" si="177"/>
        <v>0.2199235893249607</v>
      </c>
      <c r="CO142" s="28">
        <f t="shared" si="178"/>
        <v>700456632</v>
      </c>
      <c r="CP142" s="127"/>
      <c r="CQ142" s="127"/>
      <c r="CR142" s="127"/>
      <c r="CS142" s="126"/>
      <c r="CT142" s="126"/>
      <c r="CU142" s="126"/>
      <c r="CV142" s="130"/>
      <c r="CW142" s="130"/>
      <c r="CX142" s="130"/>
      <c r="CY142" s="130"/>
      <c r="CZ142" s="130"/>
      <c r="DA142" s="130"/>
      <c r="DB142" s="130">
        <f>SUMIF($E$4:$E$131,"520-2",$DB$4:$DB$131)</f>
        <v>33084973</v>
      </c>
      <c r="DC142" s="130"/>
      <c r="DD142" s="130"/>
      <c r="DE142" s="130">
        <f>SUMIF($E$4:$E$131,"520-2",$DE$4:$DE$131)</f>
        <v>0</v>
      </c>
      <c r="DF142" s="130">
        <f>SUMIF($E$4:$E$131,"520-2",$DF$4:$DF$131)</f>
        <v>667371659</v>
      </c>
      <c r="DG142" s="130"/>
      <c r="DH142" s="130"/>
      <c r="DJ142" s="203" t="s">
        <v>417</v>
      </c>
      <c r="DK142" s="203"/>
      <c r="DL142" s="198">
        <v>1790134547</v>
      </c>
      <c r="DM142" s="198">
        <v>1684702369</v>
      </c>
      <c r="DN142" s="200">
        <v>0.94110000000000005</v>
      </c>
    </row>
    <row r="143" spans="1:118" x14ac:dyDescent="0.25">
      <c r="C143" s="132"/>
      <c r="D143" s="121" t="s">
        <v>380</v>
      </c>
      <c r="E143" s="134"/>
      <c r="F143" s="135"/>
      <c r="G143" s="136">
        <f t="shared" ref="G143:Z143" si="179">SUM(G136:G142)</f>
        <v>22305623027</v>
      </c>
      <c r="H143" s="136">
        <f t="shared" si="179"/>
        <v>0</v>
      </c>
      <c r="I143" s="136">
        <f t="shared" si="179"/>
        <v>10070925003</v>
      </c>
      <c r="J143" s="136">
        <f t="shared" si="179"/>
        <v>171003327</v>
      </c>
      <c r="K143" s="136">
        <f t="shared" si="179"/>
        <v>1899736650</v>
      </c>
      <c r="L143" s="136">
        <f t="shared" si="179"/>
        <v>138372986</v>
      </c>
      <c r="M143" s="136">
        <f t="shared" si="179"/>
        <v>54387</v>
      </c>
      <c r="N143" s="136">
        <f t="shared" si="179"/>
        <v>30665828</v>
      </c>
      <c r="O143" s="136">
        <f t="shared" si="179"/>
        <v>1940856</v>
      </c>
      <c r="P143" s="136">
        <f t="shared" si="179"/>
        <v>3438802</v>
      </c>
      <c r="Q143" s="136">
        <f t="shared" si="179"/>
        <v>345941457</v>
      </c>
      <c r="R143" s="136">
        <f t="shared" si="179"/>
        <v>2356622849</v>
      </c>
      <c r="S143" s="136">
        <f t="shared" si="179"/>
        <v>1142029623</v>
      </c>
      <c r="T143" s="136">
        <f t="shared" si="179"/>
        <v>486796640</v>
      </c>
      <c r="U143" s="136">
        <f t="shared" si="179"/>
        <v>1060833768</v>
      </c>
      <c r="V143" s="136">
        <f t="shared" si="179"/>
        <v>0</v>
      </c>
      <c r="W143" s="136">
        <f t="shared" si="179"/>
        <v>101970259</v>
      </c>
      <c r="X143" s="136">
        <f t="shared" si="179"/>
        <v>2700000000</v>
      </c>
      <c r="Y143" s="136">
        <f t="shared" si="179"/>
        <v>204741836</v>
      </c>
      <c r="Z143" s="136">
        <f t="shared" si="179"/>
        <v>1590548756</v>
      </c>
      <c r="AA143" s="125">
        <f t="shared" si="171"/>
        <v>0.8233309551035658</v>
      </c>
      <c r="AB143" s="136">
        <f t="shared" ref="AB143:AV143" si="180">SUM(AB136:AB142)</f>
        <v>18364909911</v>
      </c>
      <c r="AC143" s="136">
        <f t="shared" si="180"/>
        <v>0</v>
      </c>
      <c r="AD143" s="136">
        <f t="shared" si="180"/>
        <v>0</v>
      </c>
      <c r="AE143" s="136">
        <f t="shared" si="180"/>
        <v>8241465502</v>
      </c>
      <c r="AF143" s="136">
        <f t="shared" si="180"/>
        <v>149170600</v>
      </c>
      <c r="AG143" s="136">
        <f t="shared" si="180"/>
        <v>1691206893</v>
      </c>
      <c r="AH143" s="136">
        <f t="shared" si="180"/>
        <v>126368270</v>
      </c>
      <c r="AI143" s="136">
        <f t="shared" si="180"/>
        <v>0</v>
      </c>
      <c r="AJ143" s="136">
        <f t="shared" si="180"/>
        <v>0</v>
      </c>
      <c r="AK143" s="136">
        <f t="shared" si="180"/>
        <v>0</v>
      </c>
      <c r="AL143" s="136">
        <f t="shared" si="180"/>
        <v>3438802</v>
      </c>
      <c r="AM143" s="136">
        <f t="shared" si="180"/>
        <v>169852012</v>
      </c>
      <c r="AN143" s="136">
        <f t="shared" si="180"/>
        <v>1917215673</v>
      </c>
      <c r="AO143" s="136">
        <f t="shared" si="180"/>
        <v>1111858722</v>
      </c>
      <c r="AP143" s="136">
        <f t="shared" si="180"/>
        <v>453711667</v>
      </c>
      <c r="AQ143" s="136">
        <f t="shared" si="180"/>
        <v>993740853</v>
      </c>
      <c r="AR143" s="136">
        <f t="shared" si="180"/>
        <v>0</v>
      </c>
      <c r="AS143" s="136">
        <f t="shared" si="180"/>
        <v>85302101</v>
      </c>
      <c r="AT143" s="136">
        <f t="shared" si="180"/>
        <v>2032628341</v>
      </c>
      <c r="AU143" s="136">
        <f t="shared" si="180"/>
        <v>111779461</v>
      </c>
      <c r="AV143" s="136">
        <f t="shared" si="180"/>
        <v>1277171014</v>
      </c>
      <c r="AW143" s="108">
        <f t="shared" si="173"/>
        <v>0.1766690448964342</v>
      </c>
      <c r="AX143" s="137">
        <f t="shared" ref="AX143:BQ143" si="181">SUM(AX136:AX142)</f>
        <v>3940713116</v>
      </c>
      <c r="AY143" s="137">
        <f t="shared" si="181"/>
        <v>0</v>
      </c>
      <c r="AZ143" s="137">
        <f t="shared" si="181"/>
        <v>1829459501</v>
      </c>
      <c r="BA143" s="137">
        <f t="shared" si="181"/>
        <v>21832727</v>
      </c>
      <c r="BB143" s="137">
        <f t="shared" si="181"/>
        <v>208529757</v>
      </c>
      <c r="BC143" s="137">
        <f t="shared" si="181"/>
        <v>12004716</v>
      </c>
      <c r="BD143" s="137">
        <f t="shared" si="181"/>
        <v>54387</v>
      </c>
      <c r="BE143" s="137">
        <f t="shared" si="181"/>
        <v>30665828</v>
      </c>
      <c r="BF143" s="137">
        <f t="shared" si="181"/>
        <v>1940856</v>
      </c>
      <c r="BG143" s="137">
        <f t="shared" si="181"/>
        <v>0</v>
      </c>
      <c r="BH143" s="137">
        <f t="shared" si="181"/>
        <v>176089445</v>
      </c>
      <c r="BI143" s="137">
        <f t="shared" si="181"/>
        <v>439407176</v>
      </c>
      <c r="BJ143" s="137">
        <f t="shared" si="181"/>
        <v>30170901</v>
      </c>
      <c r="BK143" s="137">
        <f t="shared" si="181"/>
        <v>33084973</v>
      </c>
      <c r="BL143" s="137">
        <f t="shared" si="181"/>
        <v>67092915</v>
      </c>
      <c r="BM143" s="137">
        <f t="shared" si="181"/>
        <v>0</v>
      </c>
      <c r="BN143" s="137">
        <f t="shared" si="181"/>
        <v>16668158</v>
      </c>
      <c r="BO143" s="137">
        <f t="shared" si="181"/>
        <v>667371659</v>
      </c>
      <c r="BP143" s="137">
        <f t="shared" si="181"/>
        <v>92962375</v>
      </c>
      <c r="BQ143" s="137">
        <f t="shared" si="181"/>
        <v>313377742</v>
      </c>
      <c r="BR143" s="128">
        <f t="shared" si="175"/>
        <v>0.8233309551035658</v>
      </c>
      <c r="BS143" s="28">
        <f t="shared" ref="BS143:CM143" si="182">SUM(BS136:BS142)</f>
        <v>18364909911</v>
      </c>
      <c r="BT143" s="28">
        <f t="shared" si="182"/>
        <v>0</v>
      </c>
      <c r="BU143" s="28">
        <f t="shared" si="182"/>
        <v>0</v>
      </c>
      <c r="BV143" s="28">
        <f t="shared" si="182"/>
        <v>8241465502</v>
      </c>
      <c r="BW143" s="28">
        <f t="shared" si="182"/>
        <v>149170600</v>
      </c>
      <c r="BX143" s="28">
        <f t="shared" si="182"/>
        <v>1691206893</v>
      </c>
      <c r="BY143" s="28">
        <f t="shared" si="182"/>
        <v>126368270</v>
      </c>
      <c r="BZ143" s="28">
        <f t="shared" si="182"/>
        <v>0</v>
      </c>
      <c r="CA143" s="28">
        <f t="shared" si="182"/>
        <v>0</v>
      </c>
      <c r="CB143" s="28">
        <f t="shared" si="182"/>
        <v>0</v>
      </c>
      <c r="CC143" s="28">
        <f t="shared" si="182"/>
        <v>3438802</v>
      </c>
      <c r="CD143" s="28">
        <f t="shared" si="182"/>
        <v>169852012</v>
      </c>
      <c r="CE143" s="28">
        <f t="shared" si="182"/>
        <v>1917215673</v>
      </c>
      <c r="CF143" s="28">
        <f t="shared" si="182"/>
        <v>1111858722</v>
      </c>
      <c r="CG143" s="28">
        <f t="shared" si="182"/>
        <v>453711667</v>
      </c>
      <c r="CH143" s="28">
        <f t="shared" si="182"/>
        <v>993740853</v>
      </c>
      <c r="CI143" s="28">
        <f t="shared" si="182"/>
        <v>0</v>
      </c>
      <c r="CJ143" s="28">
        <f t="shared" si="182"/>
        <v>85302101</v>
      </c>
      <c r="CK143" s="28">
        <f t="shared" si="182"/>
        <v>2032628341</v>
      </c>
      <c r="CL143" s="28">
        <f t="shared" si="182"/>
        <v>111779461</v>
      </c>
      <c r="CM143" s="28">
        <f t="shared" si="182"/>
        <v>1277171014</v>
      </c>
      <c r="CN143" s="25">
        <f t="shared" si="177"/>
        <v>0.1766690448964342</v>
      </c>
      <c r="CO143" s="136">
        <f t="shared" ref="CO143:DH143" ca="1" si="183">SUM(CO136:CO142)</f>
        <v>3940713116</v>
      </c>
      <c r="CP143" s="136">
        <f t="shared" ca="1" si="183"/>
        <v>0</v>
      </c>
      <c r="CQ143" s="136">
        <f t="shared" si="183"/>
        <v>1829459501</v>
      </c>
      <c r="CR143" s="136">
        <f t="shared" si="183"/>
        <v>21832727</v>
      </c>
      <c r="CS143" s="136">
        <f t="shared" si="183"/>
        <v>208529757</v>
      </c>
      <c r="CT143" s="136">
        <f t="shared" si="183"/>
        <v>12004716</v>
      </c>
      <c r="CU143" s="136">
        <f t="shared" si="183"/>
        <v>54387</v>
      </c>
      <c r="CV143" s="136">
        <f t="shared" si="183"/>
        <v>30665828</v>
      </c>
      <c r="CW143" s="136">
        <f t="shared" si="183"/>
        <v>1940856</v>
      </c>
      <c r="CX143" s="136">
        <f t="shared" si="183"/>
        <v>0</v>
      </c>
      <c r="CY143" s="136">
        <f t="shared" si="183"/>
        <v>176089445</v>
      </c>
      <c r="CZ143" s="136">
        <f t="shared" si="183"/>
        <v>439407176</v>
      </c>
      <c r="DA143" s="136">
        <f t="shared" si="183"/>
        <v>30170901</v>
      </c>
      <c r="DB143" s="136">
        <f t="shared" si="183"/>
        <v>33084973</v>
      </c>
      <c r="DC143" s="136">
        <f t="shared" si="183"/>
        <v>67092915</v>
      </c>
      <c r="DD143" s="136">
        <f t="shared" si="183"/>
        <v>0</v>
      </c>
      <c r="DE143" s="136">
        <f t="shared" si="183"/>
        <v>16668158</v>
      </c>
      <c r="DF143" s="136">
        <f t="shared" si="183"/>
        <v>667371659</v>
      </c>
      <c r="DG143" s="136">
        <f t="shared" si="183"/>
        <v>92962375</v>
      </c>
      <c r="DH143" s="136">
        <f t="shared" si="183"/>
        <v>313377742</v>
      </c>
      <c r="DJ143" s="194" t="s">
        <v>418</v>
      </c>
      <c r="DK143" s="194"/>
      <c r="DL143" s="198">
        <v>3185000000</v>
      </c>
      <c r="DM143" s="198">
        <v>2484543368</v>
      </c>
      <c r="DN143" s="200">
        <v>0.78010000000000002</v>
      </c>
    </row>
    <row r="144" spans="1:118" x14ac:dyDescent="0.25">
      <c r="C144" s="132"/>
      <c r="D144" s="121" t="s">
        <v>263</v>
      </c>
      <c r="E144" s="138">
        <v>301</v>
      </c>
      <c r="F144" s="122"/>
      <c r="G144" s="123">
        <f>SUMIF($E$4:$E$131,"301",$G$4:$G$131)</f>
        <v>2969123548</v>
      </c>
      <c r="H144" s="124">
        <f>SUMIF($E$4:$E$131,"301",$H$4:$H$131)</f>
        <v>200000000</v>
      </c>
      <c r="I144" s="124">
        <f>SUMIF($E$4:$E$131,"301",$I$4:$I$131)</f>
        <v>453168096</v>
      </c>
      <c r="J144" s="123">
        <f>SUMIF($E$4:$E$131,"301",$J$4:$J$131)</f>
        <v>0</v>
      </c>
      <c r="K144" s="122">
        <f>SUMIF($E$4:$E$131,"301",$K$4:$K$131)</f>
        <v>701280247</v>
      </c>
      <c r="L144" s="122">
        <f>SUMIF($E$4:$E$131,"301",$L$4:$L$131)</f>
        <v>0</v>
      </c>
      <c r="M144" s="122">
        <f>SUMIF($E$4:$E$131,"301",$M$4:$M$131)</f>
        <v>0</v>
      </c>
      <c r="N144" s="122">
        <f>SUMIF($E$4:$E$131,"301",$N$4:$N$131)</f>
        <v>0</v>
      </c>
      <c r="O144" s="122">
        <f>SUMIF($E$4:$E$131,"301",$O$4:$O$131)</f>
        <v>0</v>
      </c>
      <c r="P144" s="122">
        <f>SUMIF($E$4:$E$131,"301",$P$4:$P$131)</f>
        <v>0</v>
      </c>
      <c r="Q144" s="122">
        <f>SUMIF($E$4:$E$131,"301",$Q$4:$Q$131)</f>
        <v>0</v>
      </c>
      <c r="R144" s="122">
        <f>SUMIF($E$4:$E$131,"301",$R$4:$R$131)</f>
        <v>0</v>
      </c>
      <c r="S144" s="122">
        <f>SUMIF($E$4:$E$131,"301",$S$4:$S$131)</f>
        <v>0</v>
      </c>
      <c r="T144" s="122">
        <f>SUMIF($E$4:$E$131,"301",$T$4:$T$131)</f>
        <v>0</v>
      </c>
      <c r="U144" s="122">
        <f>SUMIF($E$4:$E$131,"301",$U$4:$U$131)</f>
        <v>245242997</v>
      </c>
      <c r="V144" s="122">
        <f>SUMIF($E$4:$E$123,"301",$V$4:$V$123)</f>
        <v>1262551657</v>
      </c>
      <c r="W144" s="122"/>
      <c r="X144" s="122">
        <f>SUMIF($E$4:$E$123,"301",$X$4:$X$123)</f>
        <v>0</v>
      </c>
      <c r="Y144" s="122">
        <f>SUMIF($E$4:$E$131,"301",$Y$4:$Y$131)</f>
        <v>0</v>
      </c>
      <c r="Z144" s="122">
        <f>SUMIF($E$4:$E$131,"301",$Z$4:$Z$131)</f>
        <v>106880551</v>
      </c>
      <c r="AA144" s="125">
        <f t="shared" si="171"/>
        <v>0.92275936238676182</v>
      </c>
      <c r="AB144" s="28">
        <f>SUM(AD144:AV144)</f>
        <v>2739786552</v>
      </c>
      <c r="AC144" s="123">
        <f>SUMIF($E$4:$E$131,"301",$AC$4:$AC$131)</f>
        <v>0</v>
      </c>
      <c r="AD144" s="123">
        <f>SUMIF($E$4:$E$131,"301",$AD$4:$AD$131)</f>
        <v>193150942</v>
      </c>
      <c r="AE144" s="123">
        <f>SUMIF($E$4:$E$131,"301",$AE$4:$AE$131)</f>
        <v>377850665</v>
      </c>
      <c r="AF144" s="123">
        <f>SUMIF($E$4:$E$131,"301",$AF$4:$AF$131)</f>
        <v>0</v>
      </c>
      <c r="AG144" s="123">
        <f>SUMIF($E$4:$E$131,"301",$AG$4:$AG$131)</f>
        <v>631775394</v>
      </c>
      <c r="AH144" s="123">
        <f>SUMIF($E$4:$E$131,"301",$AH$4:$AH$131)</f>
        <v>0</v>
      </c>
      <c r="AI144" s="123">
        <f>SUMIF($E$4:$E$131,"301",$AI$4:$AI$131)</f>
        <v>0</v>
      </c>
      <c r="AJ144" s="123">
        <f>SUMIF($E$4:$E$131,"301",$AJ$4:$AJ$131)</f>
        <v>0</v>
      </c>
      <c r="AK144" s="123">
        <f>SUMIF($E$4:$E$131,"301",$AK$4:$AK$131)</f>
        <v>0</v>
      </c>
      <c r="AL144" s="123">
        <f>SUMIF($E$4:$E$131,"301",$AL$4:$AL$131)</f>
        <v>0</v>
      </c>
      <c r="AM144" s="123">
        <f>SUMIF($E$4:$E$131,"301",$AM$4:$AM$131)</f>
        <v>0</v>
      </c>
      <c r="AN144" s="123">
        <f>SUMIF($E$4:$E$131,"301",$AN$4:$AN$131)</f>
        <v>0</v>
      </c>
      <c r="AO144" s="123">
        <f>SUMIF($E$4:$E$131,"301",$AO$4:$AO$131)</f>
        <v>0</v>
      </c>
      <c r="AP144" s="123">
        <f>SUMIF($E$4:$E$131,"301",$AP$4:$AP$131)</f>
        <v>0</v>
      </c>
      <c r="AQ144" s="123">
        <f>SUMIF($E$4:$E$131,"301",$AQ$4:$AQ$131)</f>
        <v>231437005</v>
      </c>
      <c r="AR144" s="123">
        <f>SUMIF($E$4:$E$131,"301",$AR$4:$AR$131)</f>
        <v>1205496037</v>
      </c>
      <c r="AS144" s="123">
        <f>SUMIF($E$4:$E$131,"301",$AS$4:$AS$131)</f>
        <v>0</v>
      </c>
      <c r="AT144" s="123">
        <f>SUMIF($E$4:$E$131,"301",$AT$4:$AT$131)</f>
        <v>0</v>
      </c>
      <c r="AU144" s="123">
        <f>SUMIF($E$4:$E$131,"301",$AU$4:$AU$131)</f>
        <v>0</v>
      </c>
      <c r="AV144" s="123">
        <f>SUMIF($E$4:$E$131,"301",$AV$4:$AV$131)</f>
        <v>100076509</v>
      </c>
      <c r="AW144" s="108">
        <f t="shared" si="173"/>
        <v>7.7240637613238183E-2</v>
      </c>
      <c r="AX144" s="28">
        <f>SUM(AY144:BQ144)</f>
        <v>229336996</v>
      </c>
      <c r="AY144" s="126">
        <f>SUMIF($E$4:$E$131,"301",$AY$4:$AY$131)</f>
        <v>6849058</v>
      </c>
      <c r="AZ144" s="126">
        <f>SUMIF($E$4:$E$131,"301",$AZ$4:$AZ$131)</f>
        <v>75317431</v>
      </c>
      <c r="BA144" s="126">
        <f>SUMIF($E$4:$E$131,"301",$BA$4:$BA$131)</f>
        <v>0</v>
      </c>
      <c r="BB144" s="126">
        <f>SUMIF($E$4:$E$131,"301",$BB$4:$BB$131)</f>
        <v>69504853</v>
      </c>
      <c r="BC144" s="126">
        <f>SUMIF($E$4:$E$131,"301",$BC$4:$BC$131)</f>
        <v>0</v>
      </c>
      <c r="BD144" s="126">
        <f>SUMIF($E$4:$E$131,"301",$BD$4:$BD$131)</f>
        <v>0</v>
      </c>
      <c r="BE144" s="126">
        <f>SUMIF($E$4:$E$131,"301",$BE$4:$BE$131)</f>
        <v>0</v>
      </c>
      <c r="BF144" s="126">
        <f>SUMIF($E$4:$E$131,"301",$BF$4:$BF$131)</f>
        <v>0</v>
      </c>
      <c r="BG144" s="126">
        <f>SUMIF($E$4:$E$131,"301",$BG$4:$BG$131)</f>
        <v>0</v>
      </c>
      <c r="BH144" s="126">
        <f>SUMIF($E$4:$E$131,"301",$BH$4:$BH$131)</f>
        <v>0</v>
      </c>
      <c r="BI144" s="126">
        <f>SUMIF($E$4:$E$131,"301",$BI$4:$BI$131)</f>
        <v>0</v>
      </c>
      <c r="BJ144" s="126">
        <f>SUMIF($E$4:$E$131,"301",$BJ$4:$BJ$131)</f>
        <v>0</v>
      </c>
      <c r="BK144" s="126">
        <f>SUMIF($E$4:$E$131,"301",$BK$4:$BK$131)</f>
        <v>0</v>
      </c>
      <c r="BL144" s="126">
        <f>SUMIF($E$4:$E$131,"301",$BL$4:$BL$131)</f>
        <v>13805992</v>
      </c>
      <c r="BM144" s="126">
        <f>SUMIF($E$4:$E$131,"301",$BM$4:$BM$131)</f>
        <v>57055620</v>
      </c>
      <c r="BN144" s="126"/>
      <c r="BO144" s="126">
        <f>SUMIF($E$4:$E$131,"301",$BO$4:$BO$131)</f>
        <v>0</v>
      </c>
      <c r="BP144" s="126"/>
      <c r="BQ144" s="127">
        <f>SUMIF($E$4:$E$131,"301",$BQ$4:$BQ$131)</f>
        <v>6804042</v>
      </c>
      <c r="BR144" s="128">
        <f t="shared" si="175"/>
        <v>0.92275936238676182</v>
      </c>
      <c r="BS144" s="28">
        <f>SUM(BU144:CM144)</f>
        <v>2739786552</v>
      </c>
      <c r="BT144" s="123">
        <f>SUMIF($E$4:$E$131,"111",$BT$4:$BT$131)</f>
        <v>0</v>
      </c>
      <c r="BU144" s="123">
        <f>SUMIF($E$4:$E$131,"301",$BU$4:$BU$131)</f>
        <v>193150942</v>
      </c>
      <c r="BV144" s="123">
        <f>SUMIF($E$4:$E$131,"301",$BV$4:$BV$131)</f>
        <v>377850665</v>
      </c>
      <c r="BW144" s="123">
        <f>SUMIF($E$4:$E$131,"301",$BW$4:$BW$131)</f>
        <v>0</v>
      </c>
      <c r="BX144" s="123">
        <f>SUMIF($E$4:$E$131,"301",$BX$4:$BX$131)</f>
        <v>631775394</v>
      </c>
      <c r="BY144" s="123">
        <f>SUMIF($E$4:$E$131,"301",$BY$4:$BY$131)</f>
        <v>0</v>
      </c>
      <c r="BZ144" s="123">
        <f>SUMIF($E$4:$E$131,"301",$BZ$4:$BZ$131)</f>
        <v>0</v>
      </c>
      <c r="CA144" s="123">
        <f>SUMIF($E$4:$E$131,"301",$CA$4:$CA$131)</f>
        <v>0</v>
      </c>
      <c r="CB144" s="123">
        <f>SUMIF($E$4:$E$131,"301",$CB$4:$CB$131)</f>
        <v>0</v>
      </c>
      <c r="CC144" s="123">
        <f>SUMIF($E$4:$E$131,"301",$CC$4:$CC$131)</f>
        <v>0</v>
      </c>
      <c r="CD144" s="123">
        <f>SUMIF($E$4:$E$131,"301",$CD$4:$CD$131)</f>
        <v>0</v>
      </c>
      <c r="CE144" s="123">
        <f>SUMIF($E$4:$E$131,"301",$CE$4:$CE$131)</f>
        <v>0</v>
      </c>
      <c r="CF144" s="123">
        <f>SUMIF($E$4:$E$131,"301",$CF$4:$CF$131)</f>
        <v>0</v>
      </c>
      <c r="CG144" s="123">
        <f>SUMIF($E$4:$E$131,"301",$CG$4:$CG$131)</f>
        <v>0</v>
      </c>
      <c r="CH144" s="123">
        <f>SUMIF($E$4:$E$131,"301",$CH$4:$CH$131)</f>
        <v>231437005</v>
      </c>
      <c r="CI144" s="123">
        <f>SUMIF($E$4:$E$131,"301",$CI$4:$CI$131)</f>
        <v>1205496037</v>
      </c>
      <c r="CJ144" s="123">
        <f>SUMIF($E$4:$E$131,"301",$CJ$4:$CJ$131)</f>
        <v>0</v>
      </c>
      <c r="CK144" s="123">
        <f>SUMIF($E$4:$E$131,"301",$CK$4:$CK$131)</f>
        <v>0</v>
      </c>
      <c r="CL144" s="123">
        <f>SUMIF($E$4:$E$131,"301",$CL$4:$CL$131)</f>
        <v>0</v>
      </c>
      <c r="CM144" s="129">
        <f>SUMIF($E$4:$E$131,"301",$CM$4:$CM$131)</f>
        <v>100076509</v>
      </c>
      <c r="CN144" s="25">
        <f t="shared" si="177"/>
        <v>7.7240637613238183E-2</v>
      </c>
      <c r="CO144" s="28">
        <f>SUM(CP144:DH144)</f>
        <v>229336996</v>
      </c>
      <c r="CP144" s="126">
        <f>SUMIF($E$4:$E$131,"301",$CP$4:$CP$131)</f>
        <v>6849058</v>
      </c>
      <c r="CQ144" s="126">
        <f>SUMIF($E$4:$E$131,"301",$CQ$4:$CQ$131)</f>
        <v>75317431</v>
      </c>
      <c r="CR144" s="126">
        <f>SUMIF($E$4:$E$131,"301",$CR$4:$CR$131)</f>
        <v>0</v>
      </c>
      <c r="CS144" s="126">
        <f>SUMIF($E$4:$E$131,"301",$CS$4:$CS$131)</f>
        <v>69504853</v>
      </c>
      <c r="CT144" s="126">
        <f>SUMIF($E$4:$E$131,"301",$CT$4:$CT$131)</f>
        <v>0</v>
      </c>
      <c r="CU144" s="126">
        <f>SUMIF($E$4:$E$131,"301",$CU$4:$CU$131)</f>
        <v>0</v>
      </c>
      <c r="CV144" s="130">
        <f>SUMIF($E$4:$E$131,"301",$CV$4:$CV$131)</f>
        <v>0</v>
      </c>
      <c r="CW144" s="130">
        <f>SUMIF($E$4:$E$131,"301",$CW$4:$CW$131)</f>
        <v>0</v>
      </c>
      <c r="CX144" s="130">
        <f>SUMIF($E$4:$E$131,"301",$CX$4:$CX$131)</f>
        <v>0</v>
      </c>
      <c r="CY144" s="130">
        <f>SUMIF($E$4:$E$131,"301",$CY$4:$CY$131)</f>
        <v>0</v>
      </c>
      <c r="CZ144" s="130">
        <f>SUMIF($E$4:$E$131,"301",$CZ$4:$CZ$131)</f>
        <v>0</v>
      </c>
      <c r="DA144" s="130">
        <f>SUMIF($E$4:$E$131,"301",$DA$4:$DA$131)</f>
        <v>0</v>
      </c>
      <c r="DB144" s="130">
        <f>SUMIF($E$4:$E$131,"301",$DB$4:$DB$131)</f>
        <v>0</v>
      </c>
      <c r="DC144" s="130">
        <f>SUMIF($E$4:$E$131,"301",$DC$4:$DC$131)</f>
        <v>13805992</v>
      </c>
      <c r="DD144" s="130">
        <f>SUMIF($E$4:$E$131,"301",$DD$4:$DD$131)</f>
        <v>57055620</v>
      </c>
      <c r="DE144" s="130">
        <f>SUMIF($E$4:$E$131,"301",$DE$4:$DE$131)</f>
        <v>0</v>
      </c>
      <c r="DF144" s="130">
        <f>SUMIF($E$4:$E$131,"301",$DF$4:$DF$131)</f>
        <v>0</v>
      </c>
      <c r="DG144" s="130">
        <f>SUMIF($E$4:$E$131,"301",$DG$4:$DG$131)</f>
        <v>0</v>
      </c>
      <c r="DH144" s="130">
        <f>SUMIF($E$4:$E$131,"301",$DH$4:$DH$131)</f>
        <v>6804042</v>
      </c>
      <c r="DJ144" s="204" t="s">
        <v>401</v>
      </c>
      <c r="DK144" s="204"/>
      <c r="DL144" s="205">
        <v>2969123548</v>
      </c>
      <c r="DM144" s="205">
        <v>2739786552</v>
      </c>
      <c r="DN144" s="206">
        <v>0.92279999999999995</v>
      </c>
    </row>
    <row r="145" spans="2:118" ht="15.75" thickBot="1" x14ac:dyDescent="0.3">
      <c r="C145" s="266" t="s">
        <v>381</v>
      </c>
      <c r="D145" s="267"/>
      <c r="E145" s="139"/>
      <c r="F145" s="140"/>
      <c r="G145" s="141">
        <f t="shared" ref="G145:Z145" si="184">SUM(G143:G144)</f>
        <v>25274746575</v>
      </c>
      <c r="H145" s="141">
        <f t="shared" si="184"/>
        <v>200000000</v>
      </c>
      <c r="I145" s="141">
        <f t="shared" si="184"/>
        <v>10524093099</v>
      </c>
      <c r="J145" s="141">
        <f t="shared" si="184"/>
        <v>171003327</v>
      </c>
      <c r="K145" s="141">
        <f t="shared" si="184"/>
        <v>2601016897</v>
      </c>
      <c r="L145" s="141">
        <f t="shared" si="184"/>
        <v>138372986</v>
      </c>
      <c r="M145" s="141">
        <f t="shared" si="184"/>
        <v>54387</v>
      </c>
      <c r="N145" s="141">
        <f t="shared" si="184"/>
        <v>30665828</v>
      </c>
      <c r="O145" s="141">
        <f t="shared" si="184"/>
        <v>1940856</v>
      </c>
      <c r="P145" s="141">
        <f t="shared" si="184"/>
        <v>3438802</v>
      </c>
      <c r="Q145" s="141">
        <f t="shared" si="184"/>
        <v>345941457</v>
      </c>
      <c r="R145" s="141">
        <f t="shared" si="184"/>
        <v>2356622849</v>
      </c>
      <c r="S145" s="141">
        <f t="shared" si="184"/>
        <v>1142029623</v>
      </c>
      <c r="T145" s="142">
        <f t="shared" si="184"/>
        <v>486796640</v>
      </c>
      <c r="U145" s="141">
        <f t="shared" si="184"/>
        <v>1306076765</v>
      </c>
      <c r="V145" s="141">
        <f t="shared" si="184"/>
        <v>1262551657</v>
      </c>
      <c r="W145" s="141">
        <f t="shared" si="184"/>
        <v>101970259</v>
      </c>
      <c r="X145" s="141">
        <f t="shared" si="184"/>
        <v>2700000000</v>
      </c>
      <c r="Y145" s="141">
        <f t="shared" si="184"/>
        <v>204741836</v>
      </c>
      <c r="Z145" s="141">
        <f t="shared" si="184"/>
        <v>1697429307</v>
      </c>
      <c r="AA145" s="143">
        <f t="shared" si="171"/>
        <v>0.83501119983039829</v>
      </c>
      <c r="AB145" s="144">
        <f t="shared" ref="AB145:AV145" si="185">AB143+AB144</f>
        <v>21104696463</v>
      </c>
      <c r="AC145" s="144">
        <f t="shared" si="185"/>
        <v>0</v>
      </c>
      <c r="AD145" s="144">
        <f t="shared" si="185"/>
        <v>193150942</v>
      </c>
      <c r="AE145" s="144">
        <f t="shared" si="185"/>
        <v>8619316167</v>
      </c>
      <c r="AF145" s="144">
        <f t="shared" si="185"/>
        <v>149170600</v>
      </c>
      <c r="AG145" s="144">
        <f t="shared" si="185"/>
        <v>2322982287</v>
      </c>
      <c r="AH145" s="144">
        <f t="shared" si="185"/>
        <v>126368270</v>
      </c>
      <c r="AI145" s="144">
        <f t="shared" si="185"/>
        <v>0</v>
      </c>
      <c r="AJ145" s="144">
        <f t="shared" si="185"/>
        <v>0</v>
      </c>
      <c r="AK145" s="144">
        <f t="shared" si="185"/>
        <v>0</v>
      </c>
      <c r="AL145" s="144">
        <f t="shared" si="185"/>
        <v>3438802</v>
      </c>
      <c r="AM145" s="144">
        <f t="shared" si="185"/>
        <v>169852012</v>
      </c>
      <c r="AN145" s="144">
        <f t="shared" si="185"/>
        <v>1917215673</v>
      </c>
      <c r="AO145" s="144">
        <f t="shared" si="185"/>
        <v>1111858722</v>
      </c>
      <c r="AP145" s="144">
        <f t="shared" si="185"/>
        <v>453711667</v>
      </c>
      <c r="AQ145" s="144">
        <f t="shared" si="185"/>
        <v>1225177858</v>
      </c>
      <c r="AR145" s="144">
        <f t="shared" si="185"/>
        <v>1205496037</v>
      </c>
      <c r="AS145" s="144">
        <f t="shared" si="185"/>
        <v>85302101</v>
      </c>
      <c r="AT145" s="144">
        <f t="shared" si="185"/>
        <v>2032628341</v>
      </c>
      <c r="AU145" s="144">
        <f t="shared" si="185"/>
        <v>111779461</v>
      </c>
      <c r="AV145" s="144">
        <f t="shared" si="185"/>
        <v>1377247523</v>
      </c>
      <c r="AW145" s="158">
        <f t="shared" si="173"/>
        <v>0.16498880016960171</v>
      </c>
      <c r="AX145" s="144">
        <f>AX143+AX144</f>
        <v>4170050112</v>
      </c>
      <c r="AY145" s="144">
        <f>AY143+AY144</f>
        <v>6849058</v>
      </c>
      <c r="AZ145" s="145">
        <f t="shared" ref="AZ145:BQ145" si="186">+AZ143+AZ144</f>
        <v>1904776932</v>
      </c>
      <c r="BA145" s="145">
        <f t="shared" si="186"/>
        <v>21832727</v>
      </c>
      <c r="BB145" s="145">
        <f t="shared" si="186"/>
        <v>278034610</v>
      </c>
      <c r="BC145" s="145">
        <f t="shared" si="186"/>
        <v>12004716</v>
      </c>
      <c r="BD145" s="145">
        <f t="shared" si="186"/>
        <v>54387</v>
      </c>
      <c r="BE145" s="145">
        <f t="shared" si="186"/>
        <v>30665828</v>
      </c>
      <c r="BF145" s="145">
        <f t="shared" si="186"/>
        <v>1940856</v>
      </c>
      <c r="BG145" s="145">
        <f t="shared" si="186"/>
        <v>0</v>
      </c>
      <c r="BH145" s="145">
        <f t="shared" si="186"/>
        <v>176089445</v>
      </c>
      <c r="BI145" s="145">
        <f t="shared" si="186"/>
        <v>439407176</v>
      </c>
      <c r="BJ145" s="145">
        <f t="shared" si="186"/>
        <v>30170901</v>
      </c>
      <c r="BK145" s="145">
        <f t="shared" si="186"/>
        <v>33084973</v>
      </c>
      <c r="BL145" s="145">
        <f t="shared" si="186"/>
        <v>80898907</v>
      </c>
      <c r="BM145" s="145">
        <f t="shared" si="186"/>
        <v>57055620</v>
      </c>
      <c r="BN145" s="145">
        <f t="shared" si="186"/>
        <v>16668158</v>
      </c>
      <c r="BO145" s="145">
        <f t="shared" si="186"/>
        <v>667371659</v>
      </c>
      <c r="BP145" s="145">
        <f t="shared" si="186"/>
        <v>92962375</v>
      </c>
      <c r="BQ145" s="145">
        <f t="shared" si="186"/>
        <v>320181784</v>
      </c>
      <c r="BR145" s="146">
        <f t="shared" si="175"/>
        <v>0.83501119983039829</v>
      </c>
      <c r="BS145" s="147">
        <f>+BS143+BS144</f>
        <v>21104696463</v>
      </c>
      <c r="BT145" s="145">
        <f>+BT143+BT144</f>
        <v>0</v>
      </c>
      <c r="BU145" s="145">
        <f>+BU143+BU144</f>
        <v>193150942</v>
      </c>
      <c r="BV145" s="145">
        <f>+BV143+BV144</f>
        <v>8619316167</v>
      </c>
      <c r="BW145" s="145">
        <f>+BW143+BW144</f>
        <v>149170600</v>
      </c>
      <c r="BX145" s="141">
        <f t="shared" ref="BX145:CM145" si="187">SUM(BX143:BX144)</f>
        <v>2322982287</v>
      </c>
      <c r="BY145" s="141">
        <f t="shared" si="187"/>
        <v>126368270</v>
      </c>
      <c r="BZ145" s="141">
        <f t="shared" si="187"/>
        <v>0</v>
      </c>
      <c r="CA145" s="141">
        <f t="shared" si="187"/>
        <v>0</v>
      </c>
      <c r="CB145" s="141">
        <f t="shared" si="187"/>
        <v>0</v>
      </c>
      <c r="CC145" s="141">
        <f t="shared" si="187"/>
        <v>3438802</v>
      </c>
      <c r="CD145" s="141">
        <f t="shared" si="187"/>
        <v>169852012</v>
      </c>
      <c r="CE145" s="141">
        <f t="shared" si="187"/>
        <v>1917215673</v>
      </c>
      <c r="CF145" s="141">
        <f t="shared" si="187"/>
        <v>1111858722</v>
      </c>
      <c r="CG145" s="141">
        <f t="shared" si="187"/>
        <v>453711667</v>
      </c>
      <c r="CH145" s="141">
        <f t="shared" si="187"/>
        <v>1225177858</v>
      </c>
      <c r="CI145" s="141">
        <f t="shared" si="187"/>
        <v>1205496037</v>
      </c>
      <c r="CJ145" s="141">
        <f t="shared" si="187"/>
        <v>85302101</v>
      </c>
      <c r="CK145" s="141">
        <f t="shared" si="187"/>
        <v>2032628341</v>
      </c>
      <c r="CL145" s="141">
        <f t="shared" si="187"/>
        <v>111779461</v>
      </c>
      <c r="CM145" s="148">
        <f t="shared" si="187"/>
        <v>1377247523</v>
      </c>
      <c r="CN145" s="149">
        <f t="shared" si="177"/>
        <v>0.16498880016960171</v>
      </c>
      <c r="CO145" s="141">
        <f t="shared" ref="CO145:DH145" ca="1" si="188">SUM(CO143:CO144)</f>
        <v>4170050112</v>
      </c>
      <c r="CP145" s="148">
        <f t="shared" ca="1" si="188"/>
        <v>6849058</v>
      </c>
      <c r="CQ145" s="148">
        <f t="shared" si="188"/>
        <v>1904776932</v>
      </c>
      <c r="CR145" s="148">
        <f t="shared" si="188"/>
        <v>21832727</v>
      </c>
      <c r="CS145" s="141">
        <f t="shared" si="188"/>
        <v>278034610</v>
      </c>
      <c r="CT145" s="141">
        <f t="shared" si="188"/>
        <v>12004716</v>
      </c>
      <c r="CU145" s="141">
        <f t="shared" si="188"/>
        <v>54387</v>
      </c>
      <c r="CV145" s="150">
        <f t="shared" si="188"/>
        <v>30665828</v>
      </c>
      <c r="CW145" s="150">
        <f t="shared" si="188"/>
        <v>1940856</v>
      </c>
      <c r="CX145" s="150">
        <f t="shared" si="188"/>
        <v>0</v>
      </c>
      <c r="CY145" s="150">
        <f t="shared" si="188"/>
        <v>176089445</v>
      </c>
      <c r="CZ145" s="150">
        <f t="shared" si="188"/>
        <v>439407176</v>
      </c>
      <c r="DA145" s="150">
        <f t="shared" si="188"/>
        <v>30170901</v>
      </c>
      <c r="DB145" s="150">
        <f t="shared" si="188"/>
        <v>33084973</v>
      </c>
      <c r="DC145" s="150">
        <f t="shared" si="188"/>
        <v>80898907</v>
      </c>
      <c r="DD145" s="150">
        <f t="shared" si="188"/>
        <v>57055620</v>
      </c>
      <c r="DE145" s="150">
        <f t="shared" si="188"/>
        <v>16668158</v>
      </c>
      <c r="DF145" s="150">
        <f t="shared" si="188"/>
        <v>667371659</v>
      </c>
      <c r="DG145" s="150">
        <f t="shared" si="188"/>
        <v>92962375</v>
      </c>
      <c r="DH145" s="150">
        <f t="shared" si="188"/>
        <v>320181784</v>
      </c>
      <c r="DJ145" s="207" t="s">
        <v>15</v>
      </c>
      <c r="DK145" s="197"/>
      <c r="DL145" s="208">
        <f>SUM(DL137:DL144)</f>
        <v>25274746575</v>
      </c>
      <c r="DM145" s="205">
        <f>SUM(DM137:DM144)</f>
        <v>21104696463</v>
      </c>
      <c r="DN145" s="206">
        <v>0.83499999999999996</v>
      </c>
    </row>
    <row r="146" spans="2:118" ht="15.75" thickTop="1" x14ac:dyDescent="0.25">
      <c r="B146" t="s">
        <v>384</v>
      </c>
      <c r="D146" s="156"/>
      <c r="E146" s="152"/>
      <c r="F146" s="157"/>
      <c r="G146" s="154"/>
      <c r="BP146" s="52"/>
      <c r="BS146" s="52"/>
    </row>
    <row r="147" spans="2:118" x14ac:dyDescent="0.25">
      <c r="B147" t="s">
        <v>385</v>
      </c>
      <c r="C147" s="286" t="s">
        <v>403</v>
      </c>
      <c r="D147" s="287"/>
      <c r="E147" s="287"/>
      <c r="F147" s="287"/>
      <c r="G147" s="287"/>
      <c r="H147" s="287"/>
      <c r="I147" s="287"/>
      <c r="J147" s="287"/>
      <c r="K147" s="287"/>
      <c r="L147" s="287"/>
      <c r="M147" s="287"/>
      <c r="N147" s="287"/>
      <c r="O147" s="287"/>
      <c r="P147" s="287"/>
      <c r="Q147" s="287"/>
      <c r="R147" s="287"/>
      <c r="S147" s="287"/>
      <c r="T147" s="287"/>
      <c r="U147" s="287"/>
      <c r="V147" s="287"/>
      <c r="W147" s="287"/>
      <c r="X147" s="287"/>
      <c r="Y147" s="287"/>
      <c r="Z147" s="287"/>
      <c r="AA147" s="287"/>
      <c r="AB147" s="287"/>
      <c r="AC147" s="287"/>
      <c r="AD147" s="287"/>
      <c r="AE147" s="287"/>
      <c r="AF147" s="287"/>
      <c r="AG147" s="287"/>
      <c r="AH147" s="287"/>
      <c r="AI147" s="287"/>
      <c r="AJ147" s="287"/>
      <c r="AK147" s="287"/>
      <c r="AL147" s="287"/>
      <c r="AM147" s="287"/>
      <c r="AN147" s="287"/>
      <c r="AO147" s="287"/>
      <c r="AP147" s="287"/>
      <c r="AQ147" s="287"/>
      <c r="AR147" s="287"/>
      <c r="AS147" s="287"/>
      <c r="AT147" s="287"/>
      <c r="AU147" s="287"/>
      <c r="AV147" s="287"/>
      <c r="AW147" s="288"/>
    </row>
    <row r="148" spans="2:118" ht="64.5" x14ac:dyDescent="0.25">
      <c r="C148" s="286" t="s">
        <v>396</v>
      </c>
      <c r="D148" s="287"/>
      <c r="E148" s="287"/>
      <c r="F148" s="288"/>
      <c r="G148" s="170" t="s">
        <v>404</v>
      </c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0" t="s">
        <v>397</v>
      </c>
      <c r="AA148" s="170" t="s">
        <v>397</v>
      </c>
      <c r="AB148" s="170" t="s">
        <v>405</v>
      </c>
      <c r="AC148" s="170" t="s">
        <v>398</v>
      </c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172" t="s">
        <v>399</v>
      </c>
      <c r="AW148" s="173" t="s">
        <v>400</v>
      </c>
    </row>
    <row r="149" spans="2:118" x14ac:dyDescent="0.25">
      <c r="C149" s="289" t="s">
        <v>39</v>
      </c>
      <c r="D149" s="290"/>
      <c r="E149" s="290"/>
      <c r="F149" s="291"/>
      <c r="G149" s="174">
        <f>+AB149-'[15]P.ACCION CONSOLIDADO'!$BS$20</f>
        <v>45463915</v>
      </c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75">
        <v>6.68</v>
      </c>
      <c r="AA149" s="176">
        <f>+AA20-'[15]P.ACCION CONSOLIDADO'!$BR$20</f>
        <v>2.9999660629194458E-2</v>
      </c>
      <c r="AB149" s="177">
        <f>+BS20</f>
        <v>1150515565</v>
      </c>
      <c r="AC149" s="178">
        <v>616176877</v>
      </c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179">
        <v>0.59736329100643903</v>
      </c>
      <c r="AW149" s="179">
        <f>+BR20</f>
        <v>0.75917519418655166</v>
      </c>
    </row>
    <row r="150" spans="2:118" x14ac:dyDescent="0.25">
      <c r="C150" s="289" t="s">
        <v>87</v>
      </c>
      <c r="D150" s="290"/>
      <c r="E150" s="290"/>
      <c r="F150" s="291"/>
      <c r="G150" s="174">
        <f>+AB150-'[15]P.ACCION CONSOLIDADO'!$BS$60</f>
        <v>838845976</v>
      </c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75">
        <v>4.33</v>
      </c>
      <c r="AA150" s="176">
        <f>+AA60-'[15]P.ACCION CONSOLIDADO'!$BR$60</f>
        <v>0.13305274508408593</v>
      </c>
      <c r="AB150" s="177">
        <f>+AB60</f>
        <v>5469960688</v>
      </c>
      <c r="AC150" s="178">
        <v>2231159345</v>
      </c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179">
        <v>0.63125973662254498</v>
      </c>
      <c r="AW150" s="179">
        <f>+BR60</f>
        <v>0.86761253658375426</v>
      </c>
      <c r="BS150" s="193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</row>
    <row r="151" spans="2:118" x14ac:dyDescent="0.25">
      <c r="C151" s="289" t="s">
        <v>183</v>
      </c>
      <c r="D151" s="290"/>
      <c r="E151" s="290"/>
      <c r="F151" s="291"/>
      <c r="G151" s="174">
        <f>+AB151-'[15]P.ACCION CONSOLIDADO'!$BS$93</f>
        <v>72833847</v>
      </c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75">
        <v>7.3</v>
      </c>
      <c r="AA151" s="176">
        <f>+AA93-'[15]P.ACCION CONSOLIDADO'!$BR$93</f>
        <v>4.0686241781132448E-2</v>
      </c>
      <c r="AB151" s="177">
        <f>+AB93</f>
        <v>1684702369</v>
      </c>
      <c r="AC151" s="178">
        <v>922449293</v>
      </c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179">
        <v>0.80967760358379015</v>
      </c>
      <c r="AW151" s="179">
        <f>+BR93</f>
        <v>0.94110376888894265</v>
      </c>
      <c r="CN151" s="151"/>
    </row>
    <row r="152" spans="2:118" x14ac:dyDescent="0.25">
      <c r="C152" s="289" t="s">
        <v>401</v>
      </c>
      <c r="D152" s="290"/>
      <c r="E152" s="290"/>
      <c r="F152" s="291"/>
      <c r="G152" s="174">
        <f>+AB152-'[15]P.ACCION CONSOLIDADO'!$BS$112</f>
        <v>19080994</v>
      </c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75">
        <v>-4.05</v>
      </c>
      <c r="AA152" s="176">
        <f>+AA112-'[15]P.ACCION CONSOLIDADO'!$BR$112</f>
        <v>6.4264735675458873E-3</v>
      </c>
      <c r="AB152" s="177">
        <f>+AB112</f>
        <v>2739786552</v>
      </c>
      <c r="AC152" s="178">
        <v>1932480606</v>
      </c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179">
        <v>0.79096945924220063</v>
      </c>
      <c r="AW152" s="179">
        <f>+BR112</f>
        <v>0.92275936238676182</v>
      </c>
    </row>
    <row r="153" spans="2:118" x14ac:dyDescent="0.25">
      <c r="C153" s="289" t="s">
        <v>314</v>
      </c>
      <c r="D153" s="290"/>
      <c r="E153" s="290"/>
      <c r="F153" s="291"/>
      <c r="G153" s="180">
        <f>+AB153-'[15]P.ACCION CONSOLIDADO'!$BS$132</f>
        <v>2203022349</v>
      </c>
      <c r="H153" s="181"/>
      <c r="I153" s="181"/>
      <c r="J153" s="181"/>
      <c r="K153" s="181"/>
      <c r="L153" s="181"/>
      <c r="M153" s="181"/>
      <c r="N153" s="181"/>
      <c r="O153" s="181"/>
      <c r="P153" s="181"/>
      <c r="Q153" s="181"/>
      <c r="R153" s="181"/>
      <c r="S153" s="181"/>
      <c r="T153" s="181"/>
      <c r="U153" s="181"/>
      <c r="V153" s="181"/>
      <c r="W153" s="181"/>
      <c r="X153" s="181"/>
      <c r="Y153" s="181"/>
      <c r="Z153" s="175">
        <v>1.7</v>
      </c>
      <c r="AA153" s="176">
        <f>+AA132-'[15]P.ACCION CONSOLIDADO'!$BR$132</f>
        <v>0.17352924563730998</v>
      </c>
      <c r="AB153" s="177">
        <f>+AB132</f>
        <v>10059731289</v>
      </c>
      <c r="AC153" s="182">
        <v>3055104832</v>
      </c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179">
        <v>0.45602872605295486</v>
      </c>
      <c r="AW153" s="179">
        <f>+BR132</f>
        <v>0.79239213469014802</v>
      </c>
    </row>
    <row r="154" spans="2:118" ht="15.75" thickBot="1" x14ac:dyDescent="0.3">
      <c r="C154" s="283" t="s">
        <v>402</v>
      </c>
      <c r="D154" s="284"/>
      <c r="E154" s="284"/>
      <c r="F154" s="285"/>
      <c r="G154" s="183">
        <f>SUM(G149:G153)</f>
        <v>3179247081</v>
      </c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84">
        <v>2.4700000000000002</v>
      </c>
      <c r="AA154" s="185">
        <f>+AA145-'[15]P.ACCION CONSOLIDADO'!$BR$145</f>
        <v>0.12578749589302263</v>
      </c>
      <c r="AB154" s="183">
        <f>SUM(AB149:AB153)</f>
        <v>21104696463</v>
      </c>
      <c r="AC154" s="186">
        <f>AC149+AC150+AC151+AC152+AC153</f>
        <v>8757370953</v>
      </c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187"/>
      <c r="AV154" s="188">
        <v>0.57085150687357122</v>
      </c>
      <c r="AW154" s="188">
        <f>+BR134</f>
        <v>0.83501119983039829</v>
      </c>
    </row>
    <row r="155" spans="2:118" ht="15.75" thickTop="1" x14ac:dyDescent="0.25">
      <c r="G155" s="52"/>
    </row>
  </sheetData>
  <mergeCells count="95">
    <mergeCell ref="BR1:BS2"/>
    <mergeCell ref="CN1:CO2"/>
    <mergeCell ref="I1:I3"/>
    <mergeCell ref="J1:J3"/>
    <mergeCell ref="DJ136:DK136"/>
    <mergeCell ref="K1:K3"/>
    <mergeCell ref="DJ128:DK128"/>
    <mergeCell ref="DJ130:DK130"/>
    <mergeCell ref="DJ132:DK132"/>
    <mergeCell ref="DJ133:DK133"/>
    <mergeCell ref="W1:W3"/>
    <mergeCell ref="L1:L3"/>
    <mergeCell ref="M1:M3"/>
    <mergeCell ref="N1:N3"/>
    <mergeCell ref="O1:O3"/>
    <mergeCell ref="P1:P3"/>
    <mergeCell ref="AY1:AZ2"/>
    <mergeCell ref="F2:F3"/>
    <mergeCell ref="AS1:AT2"/>
    <mergeCell ref="AU1:AV2"/>
    <mergeCell ref="R1:R3"/>
    <mergeCell ref="S1:S3"/>
    <mergeCell ref="T1:T3"/>
    <mergeCell ref="U1:U3"/>
    <mergeCell ref="V1:V3"/>
    <mergeCell ref="AG1:AH2"/>
    <mergeCell ref="AI1:AJ2"/>
    <mergeCell ref="AK1:AL2"/>
    <mergeCell ref="AM1:AN2"/>
    <mergeCell ref="AO1:AP2"/>
    <mergeCell ref="C1:F1"/>
    <mergeCell ref="G1:G3"/>
    <mergeCell ref="H1:H3"/>
    <mergeCell ref="AW1:AX2"/>
    <mergeCell ref="X1:X3"/>
    <mergeCell ref="Y1:Y3"/>
    <mergeCell ref="Z1:Z3"/>
    <mergeCell ref="AA1:AB2"/>
    <mergeCell ref="AC1:AD2"/>
    <mergeCell ref="AE1:AF2"/>
    <mergeCell ref="AQ1:AR2"/>
    <mergeCell ref="Q1:Q3"/>
    <mergeCell ref="B21:B23"/>
    <mergeCell ref="A2:A3"/>
    <mergeCell ref="B2:B3"/>
    <mergeCell ref="C2:C3"/>
    <mergeCell ref="D2:D3"/>
    <mergeCell ref="B4:B6"/>
    <mergeCell ref="B8:B12"/>
    <mergeCell ref="B14:B16"/>
    <mergeCell ref="B18:B19"/>
    <mergeCell ref="B20:E20"/>
    <mergeCell ref="E2:E3"/>
    <mergeCell ref="A61:A72"/>
    <mergeCell ref="B61:B63"/>
    <mergeCell ref="B65:B72"/>
    <mergeCell ref="B26:B34"/>
    <mergeCell ref="A35:A49"/>
    <mergeCell ref="B35:B38"/>
    <mergeCell ref="B39:B42"/>
    <mergeCell ref="B43:B45"/>
    <mergeCell ref="B46:B49"/>
    <mergeCell ref="A50:A59"/>
    <mergeCell ref="B50:B51"/>
    <mergeCell ref="B52:B53"/>
    <mergeCell ref="B54:B59"/>
    <mergeCell ref="B60:E60"/>
    <mergeCell ref="A73:A85"/>
    <mergeCell ref="B73:B79"/>
    <mergeCell ref="B80:B81"/>
    <mergeCell ref="B82:B85"/>
    <mergeCell ref="A86:A92"/>
    <mergeCell ref="B86:B87"/>
    <mergeCell ref="B88:B92"/>
    <mergeCell ref="C147:AW147"/>
    <mergeCell ref="B93:F93"/>
    <mergeCell ref="A94:A108"/>
    <mergeCell ref="B94:B101"/>
    <mergeCell ref="B105:B107"/>
    <mergeCell ref="B112:F112"/>
    <mergeCell ref="A113:A124"/>
    <mergeCell ref="B113:B115"/>
    <mergeCell ref="B116:B124"/>
    <mergeCell ref="A126:A131"/>
    <mergeCell ref="B126:B128"/>
    <mergeCell ref="B132:D132"/>
    <mergeCell ref="C134:E134"/>
    <mergeCell ref="C145:D145"/>
    <mergeCell ref="C154:F154"/>
    <mergeCell ref="C148:F148"/>
    <mergeCell ref="C149:F149"/>
    <mergeCell ref="C150:F150"/>
    <mergeCell ref="C151:F151"/>
    <mergeCell ref="C152:F152"/>
    <mergeCell ref="C153:F15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 XX DEL 29 DE DICIEMBRE 
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ACCION DIC 2016</vt:lpstr>
      <vt:lpstr>P. ACCION DIC 2016 (2)</vt:lpstr>
      <vt:lpstr>P. ACCIÓN CONSOLIDADO</vt:lpstr>
      <vt:lpstr>'P. ACCIÓN CONSOLIDADO'!Títulos_a_imprimir</vt:lpstr>
      <vt:lpstr>'P. ACCION DIC 2016'!Títulos_a_imprimir</vt:lpstr>
      <vt:lpstr>'P. ACCION DIC 2016 (2)'!Títulos_a_imprimir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2017-01-23T22:08:25Z</dcterms:created>
  <dcterms:modified xsi:type="dcterms:W3CDTF">2017-02-23T17:11:46Z</dcterms:modified>
</cp:coreProperties>
</file>